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4868" windowHeight="7812" tabRatio="913" firstSheet="3" activeTab="4"/>
  </bookViews>
  <sheets>
    <sheet name="návrh 20161012-0%" sheetId="1" state="hidden" r:id="rId1"/>
    <sheet name="návrh 20161012-1%" sheetId="2" state="hidden" r:id="rId2"/>
    <sheet name="graf20161012" sheetId="3" state="hidden" r:id="rId3"/>
    <sheet name="106,86 SVAZEK" sheetId="15" r:id="rId4"/>
    <sheet name="graf 106,86" sheetId="16" r:id="rId5"/>
  </sheets>
  <externalReferences>
    <externalReference r:id="rId6"/>
    <externalReference r:id="rId7"/>
    <externalReference r:id="rId8"/>
    <externalReference r:id="rId9"/>
  </externalReferences>
  <definedNames>
    <definedName name="a" localSheetId="3">'106,86 SVAZEK'!a</definedName>
    <definedName name="a">[0]!a</definedName>
    <definedName name="Assumptions" localSheetId="3">#REF!</definedName>
    <definedName name="Assumptions" localSheetId="4">#REF!</definedName>
    <definedName name="Assumptions" localSheetId="0">#REF!</definedName>
    <definedName name="Assumptions" localSheetId="1">#REF!</definedName>
    <definedName name="Assumptions">#REF!</definedName>
    <definedName name="b" localSheetId="3">'106,86 SVAZEK'!b</definedName>
    <definedName name="b">[0]!b</definedName>
    <definedName name="CALCULATIONS" localSheetId="3">#REF!</definedName>
    <definedName name="CALCULATIONS" localSheetId="4">#REF!</definedName>
    <definedName name="CALCULATIONS" localSheetId="0">#REF!</definedName>
    <definedName name="CALCULATIONS" localSheetId="1">#REF!</definedName>
    <definedName name="CALCULATIONS">#REF!</definedName>
    <definedName name="DBO_V_SPOTREBY" localSheetId="3">#REF!</definedName>
    <definedName name="DBO_V_SPOTREBY" localSheetId="4">#REF!</definedName>
    <definedName name="DBO_V_SPOTREBY" localSheetId="0">#REF!</definedName>
    <definedName name="DBO_V_SPOTREBY" localSheetId="1">#REF!</definedName>
    <definedName name="DBO_V_SPOTREBY">#REF!</definedName>
    <definedName name="DBO_V_SPOTREBY_2" localSheetId="3">#REF!</definedName>
    <definedName name="DBO_V_SPOTREBY_2" localSheetId="4">#REF!</definedName>
    <definedName name="DBO_V_SPOTREBY_2" localSheetId="0">#REF!</definedName>
    <definedName name="DBO_V_SPOTREBY_2" localSheetId="1">#REF!</definedName>
    <definedName name="DBO_V_SPOTREBY_2">#REF!</definedName>
    <definedName name="g" localSheetId="3">'106,86 SVAZEK'!g</definedName>
    <definedName name="g">[0]!g</definedName>
    <definedName name="Language">[1]Parameters!$B$1</definedName>
    <definedName name="LANGUE">[2]Parameters!$B$1</definedName>
    <definedName name="maxland" localSheetId="3">#REF!</definedName>
    <definedName name="maxland" localSheetId="4">#REF!</definedName>
    <definedName name="maxland" localSheetId="0">#REF!</definedName>
    <definedName name="maxland" localSheetId="1">#REF!</definedName>
    <definedName name="maxland">#REF!</definedName>
    <definedName name="_xlnm.Print_Area" localSheetId="3">#REF!</definedName>
    <definedName name="_xlnm.Print_Area" localSheetId="0">#REF!</definedName>
    <definedName name="_xlnm.Print_Area" localSheetId="1">#REF!</definedName>
    <definedName name="_xlnm.Print_Area">#REF!</definedName>
    <definedName name="Parameters" localSheetId="3">#REF!</definedName>
    <definedName name="Parameters" localSheetId="4">#REF!</definedName>
    <definedName name="Parameters" localSheetId="0">#REF!</definedName>
    <definedName name="Parameters" localSheetId="1">#REF!</definedName>
    <definedName name="Parameters">#REF!</definedName>
    <definedName name="podklad" localSheetId="3">#REF!</definedName>
    <definedName name="podklad" localSheetId="4">#REF!</definedName>
    <definedName name="podklad" localSheetId="0">#REF!</definedName>
    <definedName name="podklad" localSheetId="1">#REF!</definedName>
    <definedName name="podklad">#REF!</definedName>
    <definedName name="s" localSheetId="3">#REF!</definedName>
    <definedName name="s" localSheetId="4">#REF!</definedName>
    <definedName name="s" localSheetId="0">#REF!</definedName>
    <definedName name="s" localSheetId="1">#REF!</definedName>
    <definedName name="s">#REF!</definedName>
    <definedName name="sencount" hidden="1">1</definedName>
    <definedName name="SubDet" localSheetId="3">[3]!SubDet</definedName>
    <definedName name="SubDet" localSheetId="4">[3]!SubDet</definedName>
    <definedName name="SubDet" localSheetId="0">[3]!SubDet</definedName>
    <definedName name="SubDet" localSheetId="1">[3]!SubDet</definedName>
    <definedName name="SubDet">[3]!SubDet</definedName>
    <definedName name="Z_Nakl" localSheetId="3">[4]!Z_Nakl</definedName>
    <definedName name="Z_Nakl" localSheetId="4">[4]!Z_Nakl</definedName>
    <definedName name="Z_Nakl" localSheetId="0">[4]!Z_Nakl</definedName>
    <definedName name="Z_Nakl" localSheetId="1">[4]!Z_Nakl</definedName>
    <definedName name="Z_Nakl">[4]!Z_Nakl</definedName>
    <definedName name="zzbutt2" localSheetId="3">'106,86 SVAZEK'!zzbutt2</definedName>
    <definedName name="zzbutt2">[0]!zzbutt2</definedName>
    <definedName name="zzbutt3" localSheetId="3">'106,86 SVAZEK'!zzbutt3</definedName>
    <definedName name="zzbutt3">[0]!zzbutt3</definedName>
    <definedName name="zzz" localSheetId="3">'106,86 SVAZEK'!zzz</definedName>
    <definedName name="zzz">[0]!zzz</definedName>
  </definedNames>
  <calcPr calcId="125725"/>
</workbook>
</file>

<file path=xl/calcChain.xml><?xml version="1.0" encoding="utf-8"?>
<calcChain xmlns="http://schemas.openxmlformats.org/spreadsheetml/2006/main">
  <c r="C5" i="16"/>
  <c r="C4"/>
  <c r="C3"/>
  <c r="C2"/>
  <c r="B2" s="1"/>
  <c r="C7"/>
  <c r="C8"/>
  <c r="E103" i="15"/>
  <c r="E90"/>
  <c r="E80"/>
  <c r="E78"/>
  <c r="E76"/>
  <c r="E96" s="1"/>
  <c r="E100" s="1"/>
  <c r="E102" s="1"/>
  <c r="E75"/>
  <c r="E69"/>
  <c r="L40"/>
  <c r="K40"/>
  <c r="E41"/>
  <c r="E36"/>
  <c r="E18"/>
  <c r="E16"/>
  <c r="E14" s="1"/>
  <c r="E13"/>
  <c r="E7"/>
  <c r="E112" l="1"/>
  <c r="E111" s="1"/>
  <c r="E106"/>
  <c r="E34"/>
  <c r="E38" s="1"/>
  <c r="E40" s="1"/>
  <c r="E109" l="1"/>
  <c r="E110"/>
  <c r="E50"/>
  <c r="E49" s="1"/>
  <c r="E44"/>
  <c r="K86"/>
  <c r="C6" i="16"/>
  <c r="B6" s="1"/>
  <c r="B3"/>
  <c r="B4"/>
  <c r="B5"/>
  <c r="B7"/>
  <c r="I69" i="15"/>
  <c r="I75"/>
  <c r="I77"/>
  <c r="I78"/>
  <c r="I76"/>
  <c r="I83"/>
  <c r="I80"/>
  <c r="I96"/>
  <c r="I100"/>
  <c r="I101"/>
  <c r="I102"/>
  <c r="I112"/>
  <c r="G108"/>
  <c r="G69"/>
  <c r="G75"/>
  <c r="G77"/>
  <c r="G78"/>
  <c r="G79"/>
  <c r="G76"/>
  <c r="G80"/>
  <c r="G96"/>
  <c r="G97"/>
  <c r="G98"/>
  <c r="G99"/>
  <c r="G100"/>
  <c r="G102"/>
  <c r="G112"/>
  <c r="I111"/>
  <c r="G111"/>
  <c r="I103"/>
  <c r="I106"/>
  <c r="I110"/>
  <c r="G103"/>
  <c r="G106"/>
  <c r="G110"/>
  <c r="I109"/>
  <c r="G109"/>
  <c r="B2" i="3"/>
  <c r="B4"/>
  <c r="C6"/>
  <c r="B6"/>
  <c r="B7"/>
  <c r="B3"/>
  <c r="B5"/>
  <c r="B8"/>
  <c r="F102" i="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40" i="1"/>
  <c r="G40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G69"/>
  <c r="F69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7"/>
  <c r="I104" i="2"/>
  <c r="I105"/>
  <c r="I69"/>
  <c r="I75"/>
  <c r="I78"/>
  <c r="I76"/>
  <c r="I80"/>
  <c r="I96"/>
  <c r="I100"/>
  <c r="I101"/>
  <c r="I102"/>
  <c r="I112"/>
  <c r="E69"/>
  <c r="E75"/>
  <c r="E78"/>
  <c r="E76"/>
  <c r="E83"/>
  <c r="E80"/>
  <c r="E96"/>
  <c r="E100"/>
  <c r="E101"/>
  <c r="E102"/>
  <c r="E112"/>
  <c r="I111"/>
  <c r="E111"/>
  <c r="I103"/>
  <c r="I106"/>
  <c r="I110"/>
  <c r="E103"/>
  <c r="E106"/>
  <c r="E110"/>
  <c r="I109"/>
  <c r="E109"/>
  <c r="I42"/>
  <c r="I43"/>
  <c r="I7"/>
  <c r="I13"/>
  <c r="I16"/>
  <c r="I17"/>
  <c r="I14"/>
  <c r="I18"/>
  <c r="I34"/>
  <c r="I38"/>
  <c r="I39"/>
  <c r="I40"/>
  <c r="I50"/>
  <c r="E42"/>
  <c r="E43"/>
  <c r="E7"/>
  <c r="E16"/>
  <c r="E17"/>
  <c r="E14"/>
  <c r="E21"/>
  <c r="E18"/>
  <c r="E34"/>
  <c r="E38"/>
  <c r="E40"/>
  <c r="E50"/>
  <c r="I49"/>
  <c r="E49"/>
  <c r="I41"/>
  <c r="I44"/>
  <c r="I48"/>
  <c r="E41"/>
  <c r="E44"/>
  <c r="E48"/>
  <c r="I47"/>
  <c r="E47"/>
  <c r="I104" i="1"/>
  <c r="I105"/>
  <c r="I69"/>
  <c r="I75"/>
  <c r="I78"/>
  <c r="I76"/>
  <c r="I80"/>
  <c r="I96"/>
  <c r="I100"/>
  <c r="I101"/>
  <c r="I102"/>
  <c r="I112"/>
  <c r="E69"/>
  <c r="E75"/>
  <c r="E78"/>
  <c r="E76"/>
  <c r="E83"/>
  <c r="E80"/>
  <c r="E96"/>
  <c r="E100"/>
  <c r="E101"/>
  <c r="E102"/>
  <c r="E112"/>
  <c r="I111"/>
  <c r="E111"/>
  <c r="I103"/>
  <c r="I106"/>
  <c r="I110"/>
  <c r="E103"/>
  <c r="E106"/>
  <c r="E110"/>
  <c r="I109"/>
  <c r="E109"/>
  <c r="I42"/>
  <c r="I43"/>
  <c r="I7"/>
  <c r="I13"/>
  <c r="I16"/>
  <c r="I17"/>
  <c r="I14"/>
  <c r="I18"/>
  <c r="I34"/>
  <c r="I38"/>
  <c r="I39"/>
  <c r="I40"/>
  <c r="I50"/>
  <c r="E42"/>
  <c r="E43"/>
  <c r="E7"/>
  <c r="E13"/>
  <c r="E16"/>
  <c r="E17"/>
  <c r="E14"/>
  <c r="E21"/>
  <c r="E18"/>
  <c r="E34"/>
  <c r="E38"/>
  <c r="E40"/>
  <c r="E50"/>
  <c r="I49"/>
  <c r="E49"/>
  <c r="I41"/>
  <c r="I44"/>
  <c r="I48"/>
  <c r="E41"/>
  <c r="E44"/>
  <c r="E48"/>
  <c r="I47"/>
  <c r="E47"/>
  <c r="E47" i="15" l="1"/>
  <c r="E48"/>
  <c r="L86"/>
  <c r="B8" i="16"/>
  <c r="K38" i="15" l="1"/>
  <c r="K100" l="1"/>
  <c r="K10"/>
  <c r="K18"/>
  <c r="K22"/>
  <c r="K26"/>
  <c r="K30"/>
  <c r="K9"/>
  <c r="K13"/>
  <c r="K17"/>
  <c r="K21"/>
  <c r="K25"/>
  <c r="K29"/>
  <c r="K33"/>
  <c r="K37"/>
  <c r="K8"/>
  <c r="K12"/>
  <c r="K16"/>
  <c r="K20"/>
  <c r="K24"/>
  <c r="K28"/>
  <c r="K32"/>
  <c r="K36"/>
  <c r="K7"/>
  <c r="K11"/>
  <c r="K15"/>
  <c r="K19"/>
  <c r="K23"/>
  <c r="K27"/>
  <c r="K31"/>
  <c r="K35"/>
  <c r="K39"/>
  <c r="K14"/>
  <c r="K34"/>
  <c r="K72" l="1"/>
  <c r="K80"/>
  <c r="K84"/>
  <c r="K88"/>
  <c r="K92"/>
  <c r="K71"/>
  <c r="K75"/>
  <c r="K79"/>
  <c r="K83"/>
  <c r="K87"/>
  <c r="K91"/>
  <c r="K95"/>
  <c r="K99"/>
  <c r="K70"/>
  <c r="K74"/>
  <c r="K82"/>
  <c r="K90"/>
  <c r="K94"/>
  <c r="K98"/>
  <c r="K69"/>
  <c r="K73"/>
  <c r="K77"/>
  <c r="K81"/>
  <c r="K85"/>
  <c r="K89"/>
  <c r="K93"/>
  <c r="K97"/>
  <c r="K101"/>
  <c r="K102" s="1"/>
  <c r="L102" s="1"/>
  <c r="K78"/>
  <c r="K76"/>
  <c r="K96"/>
  <c r="L36"/>
  <c r="L32"/>
  <c r="L28"/>
  <c r="L24"/>
  <c r="L20"/>
  <c r="L16"/>
  <c r="L12"/>
  <c r="L7"/>
  <c r="L8"/>
  <c r="L37"/>
  <c r="L33"/>
  <c r="L29"/>
  <c r="L25"/>
  <c r="L21"/>
  <c r="L17"/>
  <c r="L13"/>
  <c r="L9"/>
  <c r="L38"/>
  <c r="L34"/>
  <c r="L30"/>
  <c r="L26"/>
  <c r="L22"/>
  <c r="L18"/>
  <c r="L14"/>
  <c r="L10"/>
  <c r="L39"/>
  <c r="L35"/>
  <c r="L31"/>
  <c r="L27"/>
  <c r="L23"/>
  <c r="L19"/>
  <c r="L15"/>
  <c r="L11"/>
  <c r="L100" l="1"/>
  <c r="L96"/>
  <c r="L92"/>
  <c r="L88"/>
  <c r="L84"/>
  <c r="L80"/>
  <c r="L76"/>
  <c r="L72"/>
  <c r="L101"/>
  <c r="L97"/>
  <c r="L93"/>
  <c r="L89"/>
  <c r="L85"/>
  <c r="L81"/>
  <c r="L77"/>
  <c r="L73"/>
  <c r="L69"/>
  <c r="L98"/>
  <c r="L94"/>
  <c r="L90"/>
  <c r="L82"/>
  <c r="L78"/>
  <c r="L74"/>
  <c r="L70"/>
  <c r="L99"/>
  <c r="L95"/>
  <c r="L91"/>
  <c r="L87"/>
  <c r="L83"/>
  <c r="L79"/>
  <c r="L75"/>
  <c r="L71"/>
</calcChain>
</file>

<file path=xl/comments1.xml><?xml version="1.0" encoding="utf-8"?>
<comments xmlns="http://schemas.openxmlformats.org/spreadsheetml/2006/main">
  <authors>
    <author>en</author>
  </authors>
  <commentList>
    <comment ref="E39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1940-předaná voda Drahany, R-J, Knínice, Vanovice a V.Opat.
200-ost.tržby středisek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1940-předaná voda Drahany, R-J, Knínice, Vanovice a V.Opat.
200-ost.tržby středisek</t>
        </r>
      </text>
    </comment>
    <comment ref="E101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250-ost.tržby
</t>
        </r>
      </text>
    </comment>
    <comment ref="I101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250-ost.tržby
</t>
        </r>
      </text>
    </comment>
  </commentList>
</comments>
</file>

<file path=xl/comments2.xml><?xml version="1.0" encoding="utf-8"?>
<comments xmlns="http://schemas.openxmlformats.org/spreadsheetml/2006/main">
  <authors>
    <author>en</author>
  </authors>
  <commentList>
    <comment ref="E39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1940-předaná voda Drahany, R-J, Knínice, Vanovice a V.Opat.
200-ost.tržby středisek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>1940-předaná voda Drahany, R-J, Knínice, Vanovice a V.Opat.
200-ost.tržby středisek</t>
        </r>
      </text>
    </comment>
    <comment ref="E101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250-ost.tržby
</t>
        </r>
      </text>
    </comment>
    <comment ref="I101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250-ost.tržby
</t>
        </r>
      </text>
    </comment>
  </commentList>
</comments>
</file>

<file path=xl/comments3.xml><?xml version="1.0" encoding="utf-8"?>
<comments xmlns="http://schemas.openxmlformats.org/spreadsheetml/2006/main">
  <authors>
    <author>en</author>
    <author>ucetni3</author>
  </authors>
  <commentList>
    <comment ref="E36" authorId="0">
      <text>
        <r>
          <rPr>
            <b/>
            <sz val="9"/>
            <color indexed="81"/>
            <rFont val="Tahoma"/>
            <family val="2"/>
            <charset val="238"/>
          </rPr>
          <t>en:</t>
        </r>
        <r>
          <rPr>
            <sz val="9"/>
            <color indexed="81"/>
            <rFont val="Tahoma"/>
            <family val="2"/>
            <charset val="238"/>
          </rPr>
          <t xml:space="preserve">
150-kvůli DJI</t>
        </r>
      </text>
    </comment>
    <comment ref="F95" authorId="1">
      <text>
        <r>
          <rPr>
            <b/>
            <sz val="9"/>
            <color indexed="81"/>
            <rFont val="Tahoma"/>
            <family val="2"/>
            <charset val="238"/>
          </rPr>
          <t>ucetni3:</t>
        </r>
        <r>
          <rPr>
            <sz val="9"/>
            <color indexed="81"/>
            <rFont val="Tahoma"/>
            <family val="2"/>
            <charset val="238"/>
          </rPr>
          <t xml:space="preserve">
2.834,40 elektrocentrála Sloup-Šošůvka</t>
        </r>
      </text>
    </comment>
    <comment ref="I101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250-ost.tržby
</t>
        </r>
      </text>
    </comment>
    <comment ref="G105" authorId="1">
      <text>
        <r>
          <rPr>
            <b/>
            <sz val="9"/>
            <color indexed="81"/>
            <rFont val="Tahoma"/>
            <family val="2"/>
            <charset val="238"/>
          </rPr>
          <t>ucetni3:</t>
        </r>
        <r>
          <rPr>
            <sz val="9"/>
            <color indexed="81"/>
            <rFont val="Tahoma"/>
            <family val="2"/>
            <charset val="238"/>
          </rPr>
          <t xml:space="preserve">
360,8 srážkové vody
</t>
        </r>
      </text>
    </comment>
  </commentList>
</comments>
</file>

<file path=xl/comments4.xml><?xml version="1.0" encoding="utf-8"?>
<comments xmlns="http://schemas.openxmlformats.org/spreadsheetml/2006/main">
  <authors>
    <author>en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včetně mezd vodáků a obsluh ČOV</t>
        </r>
      </text>
    </commen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en:</t>
        </r>
        <r>
          <rPr>
            <sz val="8"/>
            <color indexed="81"/>
            <rFont val="Tahoma"/>
            <family val="2"/>
            <charset val="238"/>
          </rPr>
          <t xml:space="preserve">
vč.tržeb mimo V+S</t>
        </r>
      </text>
    </comment>
  </commentList>
</comments>
</file>

<file path=xl/sharedStrings.xml><?xml version="1.0" encoding="utf-8"?>
<sst xmlns="http://schemas.openxmlformats.org/spreadsheetml/2006/main" count="595" uniqueCount="111">
  <si>
    <t>Plán kalkulace ceny vodného</t>
  </si>
  <si>
    <t>na rok 2017</t>
  </si>
  <si>
    <t>Svazek vodovodů a kanalizací Blansko</t>
  </si>
  <si>
    <t>0%: nárůst ceny (V+S) +0,0%, nájem celkem (V+S) 69.695 tis. Kč (nižší o 3.167,50 tis. Kč oproti plánu 2016)</t>
  </si>
  <si>
    <t>plán 2016</t>
  </si>
  <si>
    <t>1.</t>
  </si>
  <si>
    <t>Přímý materiál celkem</t>
  </si>
  <si>
    <t>a</t>
  </si>
  <si>
    <t>- chemikálie</t>
  </si>
  <si>
    <t>b</t>
  </si>
  <si>
    <t>- surová voda</t>
  </si>
  <si>
    <t>c</t>
  </si>
  <si>
    <t>- podzemní voda</t>
  </si>
  <si>
    <t>d</t>
  </si>
  <si>
    <t>- převzatá voda</t>
  </si>
  <si>
    <t>2.</t>
  </si>
  <si>
    <t>Přímé mzdy celkem</t>
  </si>
  <si>
    <t>3.</t>
  </si>
  <si>
    <t>Nájem infrastruktury</t>
  </si>
  <si>
    <t>4.</t>
  </si>
  <si>
    <t>Náklady spojené s infrastukturou</t>
  </si>
  <si>
    <t>- dodavatelská oprava a údržba (vč. opravy čerpadel)</t>
  </si>
  <si>
    <t>- vnitropodnikové náklady</t>
  </si>
  <si>
    <t>- materiál na opravu a udržování infrastruktury</t>
  </si>
  <si>
    <t>5.</t>
  </si>
  <si>
    <t>Jiné přímé náklady celkem</t>
  </si>
  <si>
    <t>- materiál na opravy a udržování provozního majetku</t>
  </si>
  <si>
    <t>- pomocný materiál, majetek v operativní evidenci</t>
  </si>
  <si>
    <t>- elektrická energie</t>
  </si>
  <si>
    <t>- plyn, teplo, jiné</t>
  </si>
  <si>
    <t>e</t>
  </si>
  <si>
    <t>- opravy a udržba provozního majetku (dodavatelská)</t>
  </si>
  <si>
    <t>f</t>
  </si>
  <si>
    <t>- likvidace odpadu</t>
  </si>
  <si>
    <t>g</t>
  </si>
  <si>
    <t>- služby externí</t>
  </si>
  <si>
    <t>h</t>
  </si>
  <si>
    <t>- pojištění z mezd</t>
  </si>
  <si>
    <t>i</t>
  </si>
  <si>
    <t>- daň, poplatky, pojištění a ostatní provozní náklady</t>
  </si>
  <si>
    <t>j</t>
  </si>
  <si>
    <t>- vodoměry</t>
  </si>
  <si>
    <t>k</t>
  </si>
  <si>
    <t>- odpisy</t>
  </si>
  <si>
    <t>l</t>
  </si>
  <si>
    <t>- dispečink</t>
  </si>
  <si>
    <t>m</t>
  </si>
  <si>
    <t>- osobní doprava</t>
  </si>
  <si>
    <t>n</t>
  </si>
  <si>
    <t>- laboratorní rozbory</t>
  </si>
  <si>
    <t>o</t>
  </si>
  <si>
    <t>- nákladní doprava a mechanismy (bagry,tl.vozy...)</t>
  </si>
  <si>
    <t>6.</t>
  </si>
  <si>
    <t>Přímé náklady celkem</t>
  </si>
  <si>
    <t>7.</t>
  </si>
  <si>
    <t>Výrobní režie</t>
  </si>
  <si>
    <t>8.</t>
  </si>
  <si>
    <t>Správní režie</t>
  </si>
  <si>
    <t>9.</t>
  </si>
  <si>
    <t>Zásobovací režie</t>
  </si>
  <si>
    <t>10.</t>
  </si>
  <si>
    <t>Úplné vlastní náklady</t>
  </si>
  <si>
    <t>11.</t>
  </si>
  <si>
    <t>Tržby středisek mimo vodné</t>
  </si>
  <si>
    <t>12.</t>
  </si>
  <si>
    <t>Náklady celkem  v tis. Kč</t>
  </si>
  <si>
    <t>13.</t>
  </si>
  <si>
    <t xml:space="preserve">Voda dodaná k fakturaci celkem v tis.m3 </t>
  </si>
  <si>
    <t>- z toho pro: obyvatelstvo</t>
  </si>
  <si>
    <t xml:space="preserve">                     ostatní</t>
  </si>
  <si>
    <t>14.</t>
  </si>
  <si>
    <t>Nákladová cena Kč/m3</t>
  </si>
  <si>
    <t>15.</t>
  </si>
  <si>
    <t>Prodejní cena bez DPH - obyvatelstvo Kč/m3</t>
  </si>
  <si>
    <t xml:space="preserve">                                       ostatní Kč/m3</t>
  </si>
  <si>
    <t>16.</t>
  </si>
  <si>
    <t>Zisk v ceně - obyvatelstvo Kč/m3</t>
  </si>
  <si>
    <t xml:space="preserve">                      ostatní Kč/m3</t>
  </si>
  <si>
    <t>17.</t>
  </si>
  <si>
    <t>Zisk celkem v %</t>
  </si>
  <si>
    <t>18.</t>
  </si>
  <si>
    <t>Zisk celkem v tis. Kč</t>
  </si>
  <si>
    <t>Vypracoval: Viktor Sedlák, obchodně-ekonomický náměstek</t>
  </si>
  <si>
    <t>Schválil: Ing. Petr Fiala, ředitel divize</t>
  </si>
  <si>
    <t>datum:</t>
  </si>
  <si>
    <t>říjen 2016</t>
  </si>
  <si>
    <t>Plán kalkulace ceny stočného</t>
  </si>
  <si>
    <t>Varianta 0%</t>
  </si>
  <si>
    <t>plán 2017</t>
  </si>
  <si>
    <t>plán 2017 (tis. Kč)</t>
  </si>
  <si>
    <t>- vyčištěná voda</t>
  </si>
  <si>
    <t>- materiál na opravy a udržování infrastruktury</t>
  </si>
  <si>
    <t>- poplatky za vypouštění odpadních vod</t>
  </si>
  <si>
    <t>Tržby středisek (mimo stočné) (-)</t>
  </si>
  <si>
    <t xml:space="preserve">Voda odvedená k fakturaci celkem v tis.m3 </t>
  </si>
  <si>
    <t>1% nárůst ceny (V+S) +0,99% V+S celkem 82,05 Kč/m3 (+0,80 Kč/m3), V 41,05 Kč/m3 (+0,40 Kč/m3, +0,99%, 92,7% ceny FA), S 41,00 Kč/m3 (+0,40 Kč/m3, +0,99%, 92,6% ceny FA), nájem celkem (V+S) 71.908 tis. Kč (nižší o 945,5 tis. Kč oproti plánu 2016)</t>
  </si>
  <si>
    <t>Varianta 1%</t>
  </si>
  <si>
    <t>%</t>
  </si>
  <si>
    <t>Kč/m3</t>
  </si>
  <si>
    <t>Přímé náklady do infrastruktury</t>
  </si>
  <si>
    <t>Povinné náklady vyplývající z legislativy</t>
  </si>
  <si>
    <t>Náklady na elektrickou energii</t>
  </si>
  <si>
    <t xml:space="preserve">Dodavatelské náklady </t>
  </si>
  <si>
    <t>Ostatní provozní náklady</t>
  </si>
  <si>
    <t>Zisk provozovatele</t>
  </si>
  <si>
    <t>tis. Kč</t>
  </si>
  <si>
    <t>Celkem</t>
  </si>
  <si>
    <t>OČSK 2016</t>
  </si>
  <si>
    <t>na rok 2021</t>
  </si>
  <si>
    <t>listopad 2020</t>
  </si>
  <si>
    <t>Dodavatelské náklady na úpravu PV a OV</t>
  </si>
</sst>
</file>

<file path=xl/styles.xml><?xml version="1.0" encoding="utf-8"?>
<styleSheet xmlns="http://schemas.openxmlformats.org/spreadsheetml/2006/main">
  <numFmts count="12">
    <numFmt numFmtId="164" formatCode="#,##0.00_ ;[Red]\-#,##0.00\ "/>
    <numFmt numFmtId="165" formatCode="0.0%"/>
    <numFmt numFmtId="166" formatCode="#\ ##0.0;\-#\ ##0.0"/>
    <numFmt numFmtId="167" formatCode="###\ ###\ ##0;\-###\ ###\ ##0;0"/>
    <numFmt numFmtId="168" formatCode="_ * #,##0_ ;_ * \-#,##0_ ;_ * &quot;-&quot;_ ;_ @_ "/>
    <numFmt numFmtId="169" formatCode="_ * #,##0.00_ ;_ * \-#,##0.00_ ;_ * &quot;-&quot;??_ ;_ @_ "/>
    <numFmt numFmtId="170" formatCode="_ &quot;Ke&quot;* #,##0_ ;_ &quot;Ke&quot;* \-#,##0_ ;_ &quot;Ke&quot;* &quot;-&quot;_ ;_ @_ "/>
    <numFmt numFmtId="171" formatCode="_ &quot;Ke&quot;* #,##0.00_ ;_ &quot;Ke&quot;* \-#,##0.00_ ;_ &quot;Ke&quot;* &quot;-&quot;??_ ;_ @_ "/>
    <numFmt numFmtId="172" formatCode="d/\ m\Řs\ˇ\c\ yyyy"/>
    <numFmt numFmtId="173" formatCode="#,##0.0"/>
    <numFmt numFmtId="174" formatCode="#,##0_ ;[Red]\-#,##0\ "/>
    <numFmt numFmtId="175" formatCode="#,##0.0_ ;[Red]\-#,##0.0\ "/>
  </numFmts>
  <fonts count="43">
    <font>
      <sz val="10"/>
      <name val="Arial CE"/>
    </font>
    <font>
      <sz val="12"/>
      <color theme="1"/>
      <name val="Times New Roman CE"/>
      <family val="2"/>
      <charset val="238"/>
    </font>
    <font>
      <sz val="10"/>
      <name val="Arial CE"/>
    </font>
    <font>
      <b/>
      <sz val="16"/>
      <name val="Arial CE"/>
      <family val="2"/>
      <charset val="238"/>
    </font>
    <font>
      <i/>
      <sz val="12"/>
      <name val="Arial CE"/>
      <family val="2"/>
      <charset val="238"/>
    </font>
    <font>
      <sz val="11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b/>
      <sz val="10"/>
      <color indexed="5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0"/>
      <color indexed="12"/>
      <name val="MS Sans Serif"/>
      <family val="2"/>
      <charset val="238"/>
    </font>
    <font>
      <sz val="10"/>
      <color indexed="12"/>
      <name val="MS Sans Serif"/>
      <family val="2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9" fontId="2" fillId="0" borderId="0" applyFont="0" applyFill="0" applyBorder="0" applyAlignment="0" applyProtection="0"/>
    <xf numFmtId="165" fontId="14" fillId="0" borderId="10" applyFont="0" applyFill="0" applyBorder="0" applyAlignment="0" applyProtection="0"/>
    <xf numFmtId="9" fontId="14" fillId="0" borderId="10" applyFont="0" applyFill="0" applyBorder="0" applyAlignment="0" applyProtection="0"/>
    <xf numFmtId="166" fontId="15" fillId="0" borderId="11" applyFont="0" applyFill="0" applyBorder="0" applyAlignment="0" applyProtection="0"/>
    <xf numFmtId="4" fontId="16" fillId="0" borderId="10" applyFont="0" applyFill="0" applyBorder="0" applyAlignment="0" applyProtection="0">
      <alignment horizontal="center"/>
    </xf>
    <xf numFmtId="167" fontId="15" fillId="0" borderId="11" applyFont="0" applyFill="0" applyBorder="0" applyAlignment="0" applyProtection="0"/>
    <xf numFmtId="0" fontId="16" fillId="0" borderId="0">
      <protection locked="0"/>
    </xf>
    <xf numFmtId="9" fontId="16" fillId="0" borderId="12" applyFont="0" applyFill="0" applyBorder="0" applyAlignment="0" applyProtection="0"/>
    <xf numFmtId="165" fontId="16" fillId="0" borderId="10" applyFont="0" applyFill="0" applyBorder="0" applyAlignment="0" applyProtection="0">
      <alignment horizontal="center"/>
    </xf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0" borderId="13" applyNumberFormat="0" applyFill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>
      <protection locked="0"/>
    </xf>
    <xf numFmtId="0" fontId="20" fillId="8" borderId="0" applyNumberFormat="0" applyBorder="0" applyAlignment="0" applyProtection="0"/>
    <xf numFmtId="0" fontId="21" fillId="21" borderId="14" applyNumberFormat="0" applyAlignment="0" applyProtection="0"/>
    <xf numFmtId="0" fontId="16" fillId="0" borderId="15" applyNumberFormat="0" applyFill="0" applyBorder="0" applyAlignment="0" applyProtection="0"/>
    <xf numFmtId="0" fontId="16" fillId="0" borderId="0">
      <protection locked="0"/>
    </xf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11" applyNumberFormat="0" applyFill="0" applyAlignment="0" applyProtection="0"/>
    <xf numFmtId="0" fontId="15" fillId="0" borderId="0"/>
    <xf numFmtId="0" fontId="28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28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28" fillId="0" borderId="0"/>
    <xf numFmtId="0" fontId="16" fillId="0" borderId="0">
      <protection locked="0"/>
    </xf>
    <xf numFmtId="0" fontId="16" fillId="23" borderId="19" applyNumberFormat="0" applyFont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>
      <protection locked="0"/>
    </xf>
    <xf numFmtId="0" fontId="30" fillId="0" borderId="20" applyNumberFormat="0" applyFill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Border="0" applyAlignment="0" applyProtection="0"/>
    <xf numFmtId="0" fontId="34" fillId="12" borderId="22" applyNumberFormat="0" applyAlignment="0" applyProtection="0"/>
    <xf numFmtId="0" fontId="35" fillId="24" borderId="22" applyNumberFormat="0" applyAlignment="0" applyProtection="0"/>
    <xf numFmtId="0" fontId="36" fillId="24" borderId="23" applyNumberFormat="0" applyAlignment="0" applyProtection="0"/>
    <xf numFmtId="0" fontId="37" fillId="0" borderId="0" applyNumberFormat="0" applyFill="0" applyBorder="0" applyAlignment="0" applyProtection="0"/>
    <xf numFmtId="3" fontId="38" fillId="0" borderId="0" applyFill="0" applyBorder="0" applyAlignment="0" applyProtection="0"/>
    <xf numFmtId="173" fontId="39" fillId="0" borderId="24" applyFill="0" applyBorder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</cellStyleXfs>
  <cellXfs count="72">
    <xf numFmtId="0" fontId="0" fillId="0" borderId="0" xfId="0"/>
    <xf numFmtId="0" fontId="0" fillId="0" borderId="0" xfId="0" applyProtection="1"/>
    <xf numFmtId="0" fontId="5" fillId="0" borderId="0" xfId="0" applyFont="1" applyProtection="1"/>
    <xf numFmtId="49" fontId="6" fillId="0" borderId="0" xfId="0" applyNumberFormat="1" applyFont="1" applyProtection="1"/>
    <xf numFmtId="164" fontId="5" fillId="0" borderId="0" xfId="0" applyNumberFormat="1" applyFont="1" applyProtection="1"/>
    <xf numFmtId="49" fontId="5" fillId="0" borderId="0" xfId="0" applyNumberFormat="1" applyFont="1" applyProtection="1"/>
    <xf numFmtId="49" fontId="7" fillId="2" borderId="0" xfId="0" applyNumberFormat="1" applyFont="1" applyFill="1" applyProtection="1">
      <protection locked="0"/>
    </xf>
    <xf numFmtId="0" fontId="5" fillId="0" borderId="2" xfId="0" applyFont="1" applyBorder="1" applyProtection="1"/>
    <xf numFmtId="49" fontId="5" fillId="0" borderId="3" xfId="0" applyNumberFormat="1" applyFont="1" applyBorder="1" applyProtection="1"/>
    <xf numFmtId="4" fontId="5" fillId="0" borderId="3" xfId="0" applyNumberFormat="1" applyFont="1" applyBorder="1" applyProtection="1">
      <protection locked="0"/>
    </xf>
    <xf numFmtId="4" fontId="5" fillId="3" borderId="3" xfId="0" applyNumberFormat="1" applyFont="1" applyFill="1" applyBorder="1" applyProtection="1"/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Protection="1"/>
    <xf numFmtId="4" fontId="5" fillId="0" borderId="5" xfId="0" applyNumberFormat="1" applyFont="1" applyBorder="1" applyProtection="1">
      <protection locked="0"/>
    </xf>
    <xf numFmtId="0" fontId="5" fillId="0" borderId="4" xfId="0" applyFont="1" applyBorder="1" applyProtection="1"/>
    <xf numFmtId="4" fontId="5" fillId="0" borderId="5" xfId="0" applyNumberFormat="1" applyFont="1" applyFill="1" applyBorder="1" applyProtection="1">
      <protection locked="0"/>
    </xf>
    <xf numFmtId="4" fontId="5" fillId="3" borderId="5" xfId="0" applyNumberFormat="1" applyFont="1" applyFill="1" applyBorder="1" applyProtection="1">
      <protection locked="0"/>
    </xf>
    <xf numFmtId="4" fontId="5" fillId="3" borderId="5" xfId="0" applyNumberFormat="1" applyFont="1" applyFill="1" applyBorder="1" applyProtection="1"/>
    <xf numFmtId="4" fontId="5" fillId="2" borderId="5" xfId="0" applyNumberFormat="1" applyFont="1" applyFill="1" applyBorder="1" applyProtection="1"/>
    <xf numFmtId="4" fontId="5" fillId="4" borderId="5" xfId="0" applyNumberFormat="1" applyFont="1" applyFill="1" applyBorder="1" applyProtection="1"/>
    <xf numFmtId="4" fontId="5" fillId="5" borderId="5" xfId="0" applyNumberFormat="1" applyFont="1" applyFill="1" applyBorder="1" applyProtection="1"/>
    <xf numFmtId="0" fontId="8" fillId="0" borderId="0" xfId="0" applyFont="1" applyProtection="1"/>
    <xf numFmtId="0" fontId="8" fillId="0" borderId="4" xfId="0" applyFont="1" applyBorder="1" applyProtection="1"/>
    <xf numFmtId="49" fontId="8" fillId="0" borderId="5" xfId="0" applyNumberFormat="1" applyFont="1" applyBorder="1" applyProtection="1"/>
    <xf numFmtId="4" fontId="8" fillId="0" borderId="5" xfId="0" applyNumberFormat="1" applyFont="1" applyBorder="1" applyProtection="1">
      <protection locked="0"/>
    </xf>
    <xf numFmtId="0" fontId="9" fillId="0" borderId="0" xfId="0" applyFont="1"/>
    <xf numFmtId="4" fontId="5" fillId="0" borderId="5" xfId="0" applyNumberFormat="1" applyFont="1" applyFill="1" applyBorder="1" applyProtection="1"/>
    <xf numFmtId="0" fontId="8" fillId="0" borderId="6" xfId="0" applyFont="1" applyBorder="1" applyProtection="1"/>
    <xf numFmtId="49" fontId="8" fillId="0" borderId="7" xfId="0" applyNumberFormat="1" applyFont="1" applyBorder="1" applyProtection="1"/>
    <xf numFmtId="4" fontId="8" fillId="0" borderId="7" xfId="0" applyNumberFormat="1" applyFont="1" applyBorder="1" applyProtection="1">
      <protection locked="0"/>
    </xf>
    <xf numFmtId="10" fontId="8" fillId="0" borderId="7" xfId="0" applyNumberFormat="1" applyFont="1" applyFill="1" applyBorder="1" applyProtection="1"/>
    <xf numFmtId="0" fontId="5" fillId="0" borderId="8" xfId="0" applyFont="1" applyBorder="1" applyProtection="1"/>
    <xf numFmtId="49" fontId="7" fillId="0" borderId="9" xfId="0" applyNumberFormat="1" applyFont="1" applyBorder="1" applyProtection="1"/>
    <xf numFmtId="4" fontId="5" fillId="0" borderId="9" xfId="0" applyNumberFormat="1" applyFont="1" applyBorder="1" applyProtection="1">
      <protection locked="0"/>
    </xf>
    <xf numFmtId="4" fontId="7" fillId="6" borderId="9" xfId="0" applyNumberFormat="1" applyFont="1" applyFill="1" applyBorder="1" applyProtection="1"/>
    <xf numFmtId="49" fontId="5" fillId="0" borderId="0" xfId="0" applyNumberFormat="1" applyFont="1" applyAlignment="1" applyProtection="1">
      <alignment horizontal="left"/>
      <protection locked="0"/>
    </xf>
    <xf numFmtId="0" fontId="0" fillId="0" borderId="0" xfId="0" quotePrefix="1" applyAlignment="1" applyProtection="1">
      <alignment horizontal="left"/>
    </xf>
    <xf numFmtId="49" fontId="0" fillId="0" borderId="0" xfId="0" applyNumberFormat="1" applyProtection="1"/>
    <xf numFmtId="164" fontId="0" fillId="0" borderId="0" xfId="0" applyNumberFormat="1" applyProtection="1"/>
    <xf numFmtId="0" fontId="10" fillId="0" borderId="1" xfId="0" applyFont="1" applyBorder="1" applyAlignment="1" applyProtection="1">
      <alignment wrapText="1"/>
    </xf>
    <xf numFmtId="164" fontId="0" fillId="0" borderId="0" xfId="0" applyNumberFormat="1"/>
    <xf numFmtId="49" fontId="0" fillId="0" borderId="0" xfId="0" applyNumberFormat="1"/>
    <xf numFmtId="49" fontId="3" fillId="0" borderId="0" xfId="0" applyNumberFormat="1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40" fillId="0" borderId="0" xfId="0" applyFont="1"/>
    <xf numFmtId="174" fontId="40" fillId="0" borderId="0" xfId="0" applyNumberFormat="1" applyFont="1"/>
    <xf numFmtId="2" fontId="40" fillId="0" borderId="0" xfId="0" applyNumberFormat="1" applyFont="1"/>
    <xf numFmtId="174" fontId="40" fillId="29" borderId="0" xfId="0" applyNumberFormat="1" applyFont="1" applyFill="1"/>
    <xf numFmtId="49" fontId="3" fillId="0" borderId="0" xfId="0" applyNumberFormat="1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/>
    </xf>
    <xf numFmtId="175" fontId="40" fillId="0" borderId="0" xfId="0" applyNumberFormat="1" applyFont="1"/>
    <xf numFmtId="175" fontId="40" fillId="29" borderId="0" xfId="0" applyNumberFormat="1" applyFont="1" applyFill="1"/>
    <xf numFmtId="0" fontId="6" fillId="0" borderId="1" xfId="0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/>
    </xf>
    <xf numFmtId="9" fontId="4" fillId="0" borderId="0" xfId="1" applyFont="1" applyAlignment="1" applyProtection="1">
      <alignment horizontal="center"/>
    </xf>
    <xf numFmtId="0" fontId="6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4" fontId="5" fillId="3" borderId="25" xfId="0" applyNumberFormat="1" applyFont="1" applyFill="1" applyBorder="1" applyProtection="1"/>
    <xf numFmtId="4" fontId="5" fillId="0" borderId="26" xfId="0" applyNumberFormat="1" applyFont="1" applyBorder="1" applyProtection="1">
      <protection locked="0"/>
    </xf>
    <xf numFmtId="4" fontId="5" fillId="3" borderId="26" xfId="0" applyNumberFormat="1" applyFont="1" applyFill="1" applyBorder="1" applyProtection="1">
      <protection locked="0"/>
    </xf>
    <xf numFmtId="4" fontId="5" fillId="3" borderId="26" xfId="0" applyNumberFormat="1" applyFont="1" applyFill="1" applyBorder="1" applyProtection="1"/>
    <xf numFmtId="4" fontId="5" fillId="2" borderId="26" xfId="0" applyNumberFormat="1" applyFont="1" applyFill="1" applyBorder="1" applyProtection="1"/>
    <xf numFmtId="4" fontId="5" fillId="4" borderId="26" xfId="0" applyNumberFormat="1" applyFont="1" applyFill="1" applyBorder="1" applyProtection="1"/>
    <xf numFmtId="4" fontId="5" fillId="5" borderId="26" xfId="0" applyNumberFormat="1" applyFont="1" applyFill="1" applyBorder="1" applyProtection="1"/>
    <xf numFmtId="4" fontId="8" fillId="0" borderId="26" xfId="0" applyNumberFormat="1" applyFont="1" applyBorder="1" applyProtection="1">
      <protection locked="0"/>
    </xf>
    <xf numFmtId="4" fontId="5" fillId="0" borderId="26" xfId="0" applyNumberFormat="1" applyFont="1" applyFill="1" applyBorder="1" applyProtection="1"/>
    <xf numFmtId="10" fontId="8" fillId="0" borderId="27" xfId="0" applyNumberFormat="1" applyFont="1" applyFill="1" applyBorder="1" applyProtection="1"/>
    <xf numFmtId="4" fontId="7" fillId="6" borderId="28" xfId="0" applyNumberFormat="1" applyFont="1" applyFill="1" applyBorder="1" applyProtection="1"/>
  </cellXfs>
  <cellStyles count="91">
    <cellStyle name="%[0.0]" xfId="2"/>
    <cellStyle name="%[0]" xfId="3"/>
    <cellStyle name="[0,0]" xfId="4"/>
    <cellStyle name="[0,00]" xfId="5"/>
    <cellStyle name="[0]" xfId="6"/>
    <cellStyle name="¬µrka" xfId="7"/>
    <cellStyle name="0%" xfId="8"/>
    <cellStyle name="0.0%" xfId="9"/>
    <cellStyle name="20 % – Zvýraznění1 2" xfId="10"/>
    <cellStyle name="20 % – Zvýraznění2 2" xfId="11"/>
    <cellStyle name="20 % – Zvýraznění3 2" xfId="12"/>
    <cellStyle name="20 % – Zvýraznění4 2" xfId="13"/>
    <cellStyle name="20 % – Zvýraznění5 2" xfId="14"/>
    <cellStyle name="20 % – Zvýraznění6 2" xfId="15"/>
    <cellStyle name="40 % – Zvýraznění1 2" xfId="16"/>
    <cellStyle name="40 % – Zvýraznění2 2" xfId="17"/>
    <cellStyle name="40 % – Zvýraznění3 2" xfId="18"/>
    <cellStyle name="40 % – Zvýraznění4 2" xfId="19"/>
    <cellStyle name="40 % – Zvýraznění5 2" xfId="20"/>
    <cellStyle name="40 % – Zvýraznění6 2" xfId="21"/>
    <cellStyle name="60 % – Zvýraznění1 2" xfId="22"/>
    <cellStyle name="60 % – Zvýraznění2 2" xfId="23"/>
    <cellStyle name="60 % – Zvýraznění3 2" xfId="24"/>
    <cellStyle name="60 % – Zvýraznění4 2" xfId="25"/>
    <cellStyle name="60 % – Zvýraznění5 2" xfId="26"/>
    <cellStyle name="60 % – Zvýraznění6 2" xfId="27"/>
    <cellStyle name="Celkem 2" xfId="28"/>
    <cellStyle name="Comma [0]_Balance sheet template" xfId="29"/>
    <cellStyle name="Comma_Balance sheet template" xfId="30"/>
    <cellStyle name="Currency [0]_Balance sheet template" xfId="31"/>
    <cellStyle name="Currency_Balance sheet template" xfId="32"/>
    <cellStyle name="Datum" xfId="33"/>
    <cellStyle name="Chybně 2" xfId="34"/>
    <cellStyle name="Kontrolní buňka 2" xfId="35"/>
    <cellStyle name="Link" xfId="36"/>
    <cellStyle name="M·na" xfId="37"/>
    <cellStyle name="Nadpis 1 2" xfId="38"/>
    <cellStyle name="Nadpis 2 2" xfId="39"/>
    <cellStyle name="Nadpis 3 2" xfId="40"/>
    <cellStyle name="Nadpis 4 2" xfId="41"/>
    <cellStyle name="Nadpis1" xfId="42"/>
    <cellStyle name="Nadpis2" xfId="43"/>
    <cellStyle name="Název 2" xfId="44"/>
    <cellStyle name="Neutrální 2" xfId="45"/>
    <cellStyle name="New Titles" xfId="46"/>
    <cellStyle name="Normal_Balance sheet template" xfId="47"/>
    <cellStyle name="normální" xfId="0" builtinId="0"/>
    <cellStyle name="normální 2" xfId="48"/>
    <cellStyle name="normální 2 10" xfId="49"/>
    <cellStyle name="normální 2 2" xfId="50"/>
    <cellStyle name="normální 2 2 2" xfId="51"/>
    <cellStyle name="normální 2 2_ČOV Žďár" xfId="52"/>
    <cellStyle name="normální 2 3" xfId="53"/>
    <cellStyle name="normální 2 4" xfId="54"/>
    <cellStyle name="normální 2 5" xfId="55"/>
    <cellStyle name="normální 2 6" xfId="56"/>
    <cellStyle name="normální 2 7" xfId="57"/>
    <cellStyle name="normální 2 8" xfId="58"/>
    <cellStyle name="normální 2 9" xfId="59"/>
    <cellStyle name="normální 2_ČOV Žďár" xfId="60"/>
    <cellStyle name="normální 3" xfId="61"/>
    <cellStyle name="normální 3 2" xfId="62"/>
    <cellStyle name="normální 3_ČOV Žďár" xfId="63"/>
    <cellStyle name="normální 4" xfId="64"/>
    <cellStyle name="normální 4 2" xfId="65"/>
    <cellStyle name="normální 4 2 2 2" xfId="66"/>
    <cellStyle name="normální 5" xfId="67"/>
    <cellStyle name="normální 6" xfId="68"/>
    <cellStyle name="Pevní" xfId="69"/>
    <cellStyle name="Poznámka 2" xfId="70"/>
    <cellStyle name="procent" xfId="1" builtinId="5"/>
    <cellStyle name="procent 2" xfId="71"/>
    <cellStyle name="procent 3" xfId="72"/>
    <cellStyle name="procent 4" xfId="73"/>
    <cellStyle name="Procenta" xfId="74"/>
    <cellStyle name="Propojená buňka 2" xfId="75"/>
    <cellStyle name="Správně 2" xfId="76"/>
    <cellStyle name="Text upozornění 2" xfId="77"/>
    <cellStyle name="Title" xfId="78"/>
    <cellStyle name="Vstup 2" xfId="79"/>
    <cellStyle name="Výpočet 2" xfId="80"/>
    <cellStyle name="Výstup 2" xfId="81"/>
    <cellStyle name="Vysvětlující text 2" xfId="82"/>
    <cellStyle name="Zadano" xfId="83"/>
    <cellStyle name="Zadano 1 desetne" xfId="84"/>
    <cellStyle name="Zvýraznění 1 2" xfId="85"/>
    <cellStyle name="Zvýraznění 2 2" xfId="86"/>
    <cellStyle name="Zvýraznění 3 2" xfId="87"/>
    <cellStyle name="Zvýraznění 4 2" xfId="88"/>
    <cellStyle name="Zvýraznění 5 2" xfId="89"/>
    <cellStyle name="Zvýraznění 6 2" xfId="90"/>
  </cellStyles>
  <dxfs count="0"/>
  <tableStyles count="0" defaultTableStyle="TableStyleMedium9" defaultPivotStyle="PivotStyleLight16"/>
  <colors>
    <mruColors>
      <color rgb="FF00FF00"/>
      <color rgb="FF06AA21"/>
      <color rgb="FFFC1CD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pieChart>
        <c:varyColors val="1"/>
        <c:ser>
          <c:idx val="0"/>
          <c:order val="0"/>
          <c:tx>
            <c:strRef>
              <c:f>graf20161012!$B$1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C1CDC"/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58,36</a:t>
                    </a:r>
                  </a:p>
                </c:rich>
              </c:tx>
              <c:showVal val="1"/>
            </c:dLbl>
            <c:showVal val="1"/>
            <c:showLeaderLines val="1"/>
          </c:dLbls>
          <c:cat>
            <c:strRef>
              <c:f>graf20161012!$A$2:$A$7</c:f>
              <c:strCache>
                <c:ptCount val="6"/>
                <c:pt idx="0">
                  <c:v>Přímé náklady do infrastruktury</c:v>
                </c:pt>
                <c:pt idx="1">
                  <c:v>Povinné náklady vyplývající z legislativy</c:v>
                </c:pt>
                <c:pt idx="2">
                  <c:v>Náklady na elektrickou energii</c:v>
                </c:pt>
                <c:pt idx="3">
                  <c:v>Dodavatelské náklady </c:v>
                </c:pt>
                <c:pt idx="4">
                  <c:v>Ostatní provozní náklady</c:v>
                </c:pt>
                <c:pt idx="5">
                  <c:v>Zisk provozovatele</c:v>
                </c:pt>
              </c:strCache>
            </c:strRef>
          </c:cat>
          <c:val>
            <c:numRef>
              <c:f>graf20161012!$B$2:$B$7</c:f>
              <c:numCache>
                <c:formatCode>0.00</c:formatCode>
                <c:ptCount val="6"/>
                <c:pt idx="0">
                  <c:v>58.36</c:v>
                </c:pt>
                <c:pt idx="1">
                  <c:v>7.3</c:v>
                </c:pt>
                <c:pt idx="2">
                  <c:v>6.86</c:v>
                </c:pt>
                <c:pt idx="3">
                  <c:v>2.87</c:v>
                </c:pt>
                <c:pt idx="4">
                  <c:v>21.38</c:v>
                </c:pt>
                <c:pt idx="5">
                  <c:v>3.23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/>
      <c:pieChart>
        <c:varyColors val="1"/>
        <c:ser>
          <c:idx val="0"/>
          <c:order val="0"/>
          <c:tx>
            <c:strRef>
              <c:f>'graf 106,86'!$B$1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C1CDC"/>
              </a:solidFill>
            </c:spPr>
          </c:dPt>
          <c:dPt>
            <c:idx val="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-5.5382465680998513E-2"/>
                  <c:y val="0.17540905978302018"/>
                </c:manualLayout>
              </c:layout>
              <c:showVal val="1"/>
            </c:dLbl>
            <c:showVal val="1"/>
            <c:showLeaderLines val="1"/>
          </c:dLbls>
          <c:cat>
            <c:strRef>
              <c:f>'graf 106,86'!$A$2:$A$7</c:f>
              <c:strCache>
                <c:ptCount val="6"/>
                <c:pt idx="0">
                  <c:v>Přímé náklady do infrastruktury</c:v>
                </c:pt>
                <c:pt idx="1">
                  <c:v>Povinné náklady vyplývající z legislativy</c:v>
                </c:pt>
                <c:pt idx="2">
                  <c:v>Náklady na elektrickou energii</c:v>
                </c:pt>
                <c:pt idx="3">
                  <c:v>Dodavatelské náklady na úpravu PV a OV</c:v>
                </c:pt>
                <c:pt idx="4">
                  <c:v>Ostatní provozní náklady</c:v>
                </c:pt>
                <c:pt idx="5">
                  <c:v>Zisk provozovatele</c:v>
                </c:pt>
              </c:strCache>
            </c:strRef>
          </c:cat>
          <c:val>
            <c:numRef>
              <c:f>'graf 106,86'!$B$2:$B$7</c:f>
              <c:numCache>
                <c:formatCode>0.00</c:formatCode>
                <c:ptCount val="6"/>
                <c:pt idx="0">
                  <c:v>58.15</c:v>
                </c:pt>
                <c:pt idx="1">
                  <c:v>8.09</c:v>
                </c:pt>
                <c:pt idx="2">
                  <c:v>7.96</c:v>
                </c:pt>
                <c:pt idx="3">
                  <c:v>2.2400000000000002</c:v>
                </c:pt>
                <c:pt idx="4">
                  <c:v>20.309999999999999</c:v>
                </c:pt>
                <c:pt idx="5">
                  <c:v>3.25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12</xdr:row>
      <xdr:rowOff>28575</xdr:rowOff>
    </xdr:from>
    <xdr:to>
      <xdr:col>7</xdr:col>
      <xdr:colOff>304800</xdr:colOff>
      <xdr:row>29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390525</xdr:colOff>
      <xdr:row>1</xdr:row>
      <xdr:rowOff>95250</xdr:rowOff>
    </xdr:from>
    <xdr:to>
      <xdr:col>6</xdr:col>
      <xdr:colOff>476250</xdr:colOff>
      <xdr:row>9</xdr:row>
      <xdr:rowOff>28575</xdr:rowOff>
    </xdr:to>
    <xdr:sp macro="" textlink="">
      <xdr:nvSpPr>
        <xdr:cNvPr id="3" name="TextovéPole 2"/>
        <xdr:cNvSpPr txBox="1"/>
      </xdr:nvSpPr>
      <xdr:spPr>
        <a:xfrm>
          <a:off x="3990975" y="257175"/>
          <a:ext cx="191452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4800"/>
            <a:t>0</a:t>
          </a:r>
          <a:r>
            <a:rPr lang="cs-CZ" sz="4800"/>
            <a:t>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1771650</xdr:colOff>
      <xdr:row>12</xdr:row>
      <xdr:rowOff>57150</xdr:rowOff>
    </xdr:from>
    <xdr:to>
      <xdr:col>7</xdr:col>
      <xdr:colOff>304800</xdr:colOff>
      <xdr:row>29</xdr:row>
      <xdr:rowOff>47625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OU\Kalkulace%202014\work\1999\TISK\report\VAS10.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OU\Kalkulace%202014\windows\TEMP\breze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OU\Kalkulace%202014\WINDOWS\PLOCHA\BANKA_GR\BAN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OU\Kalkulace%202014\WINDOWS\PROFILES\CHRAST\PLOCHA\BANKA\BAN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PL"/>
      <sheetName val="Production"/>
      <sheetName val="Cash"/>
      <sheetName val="Debt"/>
      <sheetName val="Receiv"/>
      <sheetName val="Inv"/>
      <sheetName val="BS(n-1)"/>
      <sheetName val="BS(n)"/>
      <sheetName val="Funds R2"/>
      <sheetName val="BS R3"/>
      <sheetName val="Analysis"/>
      <sheetName val="Ctrl"/>
      <sheetName val="CtrlBS"/>
      <sheetName val="Graph"/>
      <sheetName val="Transfer BS"/>
    </sheetNames>
    <sheetDataSet>
      <sheetData sheetId="0">
        <row r="1">
          <cell r="B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PL"/>
      <sheetName val="Production"/>
      <sheetName val="Cash"/>
      <sheetName val="Receivables"/>
      <sheetName val="Invest"/>
      <sheetName val="Control"/>
      <sheetName val="Analysis"/>
      <sheetName val="Graph"/>
      <sheetName val="tit.list"/>
      <sheetName val="obsah"/>
      <sheetName val="komentář "/>
      <sheetName val="kr.list"/>
      <sheetName val="mzda vč.ř.pr"/>
      <sheetName val="mzda bez ř.pr"/>
      <sheetName val="hod.mzdy náp."/>
      <sheetName val="MP vč.ř.pr"/>
      <sheetName val="MP bez ř.pr"/>
      <sheetName val="členění mezd vč.ř.pr"/>
      <sheetName val="členění mezd bez ř.pr"/>
      <sheetName val="příplatky"/>
      <sheetName val="fyz.stav"/>
      <sheetName val="přep.stav"/>
      <sheetName val="říd.prac."/>
      <sheetName val="nem. kum"/>
      <sheetName val="1.Q.02"/>
      <sheetName val="2.Q.02"/>
      <sheetName val="3.Q.02"/>
      <sheetName val="1.Q.03"/>
      <sheetName val="2.Q.03"/>
      <sheetName val="3.Q.03"/>
      <sheetName val="1.Q.04"/>
      <sheetName val="2.Q.04"/>
      <sheetName val="3.Q.04"/>
      <sheetName val="List2"/>
      <sheetName val="příl. KS. č.6"/>
      <sheetName val="Příl. KS. č.8"/>
      <sheetName val="struktura  mezd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#REF"/>
    </sheetNames>
    <definedNames>
      <definedName name="SubDet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NKA"/>
      <sheetName val="#REF"/>
    </sheetNames>
    <definedNames>
      <definedName name="Z_Nakl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showGridLines="0" topLeftCell="B1" zoomScale="75" zoomScaleNormal="75" workbookViewId="0">
      <selection activeCell="C29" sqref="C29"/>
    </sheetView>
  </sheetViews>
  <sheetFormatPr defaultRowHeight="13.2"/>
  <cols>
    <col min="1" max="1" width="3.44140625" customWidth="1"/>
    <col min="2" max="2" width="6.5546875" customWidth="1"/>
    <col min="3" max="3" width="52.6640625" style="41" bestFit="1" customWidth="1"/>
    <col min="4" max="9" width="13.44140625" style="40" customWidth="1"/>
  </cols>
  <sheetData>
    <row r="1" spans="1:9" ht="21">
      <c r="A1" s="1"/>
      <c r="B1" s="57" t="s">
        <v>0</v>
      </c>
      <c r="C1" s="57"/>
      <c r="D1" s="57"/>
      <c r="E1" s="57"/>
      <c r="F1" s="42"/>
      <c r="G1" s="42"/>
      <c r="H1"/>
      <c r="I1"/>
    </row>
    <row r="2" spans="1:9" ht="16.5" customHeight="1">
      <c r="A2" s="1"/>
      <c r="B2" s="58" t="s">
        <v>1</v>
      </c>
      <c r="C2" s="58"/>
      <c r="D2" s="58"/>
      <c r="E2" s="58"/>
      <c r="F2" s="43"/>
      <c r="G2" s="43"/>
      <c r="H2"/>
      <c r="I2"/>
    </row>
    <row r="3" spans="1:9" ht="18" customHeight="1">
      <c r="A3" s="2"/>
      <c r="B3" s="2"/>
      <c r="C3" s="3"/>
      <c r="D3" s="4"/>
      <c r="E3" s="4"/>
      <c r="F3" s="4"/>
      <c r="G3" s="4"/>
      <c r="H3" s="4"/>
      <c r="I3" s="4"/>
    </row>
    <row r="4" spans="1:9" ht="18" customHeight="1">
      <c r="A4" s="2"/>
      <c r="B4" s="2"/>
      <c r="C4" s="5"/>
      <c r="D4" s="4"/>
      <c r="E4" s="4"/>
      <c r="F4" s="4"/>
      <c r="G4" s="4"/>
      <c r="H4" s="4"/>
      <c r="I4" s="4"/>
    </row>
    <row r="5" spans="1:9" ht="18" customHeight="1">
      <c r="A5" s="2"/>
      <c r="B5" s="2"/>
      <c r="C5" s="6" t="s">
        <v>2</v>
      </c>
      <c r="D5" s="4"/>
      <c r="E5" s="4"/>
      <c r="F5" s="4"/>
      <c r="G5" s="4"/>
      <c r="H5" s="4"/>
      <c r="I5" s="4"/>
    </row>
    <row r="6" spans="1:9" ht="29.25" customHeight="1" thickBot="1">
      <c r="A6" s="2"/>
      <c r="B6" s="59" t="s">
        <v>3</v>
      </c>
      <c r="C6" s="59"/>
      <c r="D6" s="59"/>
      <c r="E6" s="59"/>
      <c r="F6" s="44" t="s">
        <v>97</v>
      </c>
      <c r="G6" s="44" t="s">
        <v>98</v>
      </c>
      <c r="H6" t="s">
        <v>4</v>
      </c>
      <c r="I6" t="s">
        <v>4</v>
      </c>
    </row>
    <row r="7" spans="1:9" ht="18" customHeight="1">
      <c r="A7" s="2"/>
      <c r="B7" s="7" t="s">
        <v>5</v>
      </c>
      <c r="C7" s="8" t="s">
        <v>6</v>
      </c>
      <c r="D7" s="9"/>
      <c r="E7" s="10">
        <f>SUM(E8:E11)</f>
        <v>9315</v>
      </c>
      <c r="F7" s="10">
        <f>ROUND((E7/$E$40)*100,2)</f>
        <v>8.1199999999999992</v>
      </c>
      <c r="G7" s="10">
        <f>($E$44*F7)/100</f>
        <v>3.1948230531732418</v>
      </c>
      <c r="H7" s="9"/>
      <c r="I7" s="10">
        <f>SUM(I8:I11)</f>
        <v>9260</v>
      </c>
    </row>
    <row r="8" spans="1:9" ht="18" customHeight="1">
      <c r="A8" s="2"/>
      <c r="B8" s="11" t="s">
        <v>7</v>
      </c>
      <c r="C8" s="12" t="s">
        <v>8</v>
      </c>
      <c r="D8" s="13"/>
      <c r="E8" s="13">
        <v>115</v>
      </c>
      <c r="F8" s="13">
        <f t="shared" ref="F8:F40" si="0">ROUND((E8/$E$40)*100,2)</f>
        <v>0.1</v>
      </c>
      <c r="G8" s="13">
        <f t="shared" ref="G8:G39" si="1">($E$44*F8)/100</f>
        <v>3.9345111492281308E-2</v>
      </c>
      <c r="H8" s="13"/>
      <c r="I8" s="13">
        <v>110</v>
      </c>
    </row>
    <row r="9" spans="1:9" ht="18" customHeight="1">
      <c r="A9" s="2"/>
      <c r="B9" s="11" t="s">
        <v>9</v>
      </c>
      <c r="C9" s="12" t="s">
        <v>10</v>
      </c>
      <c r="D9" s="13"/>
      <c r="E9" s="13"/>
      <c r="F9" s="13">
        <f t="shared" si="0"/>
        <v>0</v>
      </c>
      <c r="G9" s="13">
        <f t="shared" si="1"/>
        <v>0</v>
      </c>
      <c r="H9" s="13"/>
      <c r="I9" s="13"/>
    </row>
    <row r="10" spans="1:9" ht="18" customHeight="1">
      <c r="A10" s="2"/>
      <c r="B10" s="11" t="s">
        <v>11</v>
      </c>
      <c r="C10" s="12" t="s">
        <v>12</v>
      </c>
      <c r="D10" s="13"/>
      <c r="E10" s="13">
        <v>8700</v>
      </c>
      <c r="F10" s="13">
        <f t="shared" si="0"/>
        <v>7.59</v>
      </c>
      <c r="G10" s="13">
        <f t="shared" si="1"/>
        <v>2.9862939622641509</v>
      </c>
      <c r="H10" s="13"/>
      <c r="I10" s="13">
        <v>8700</v>
      </c>
    </row>
    <row r="11" spans="1:9" ht="18" customHeight="1">
      <c r="A11" s="2"/>
      <c r="B11" s="11" t="s">
        <v>13</v>
      </c>
      <c r="C11" s="12" t="s">
        <v>14</v>
      </c>
      <c r="D11" s="13"/>
      <c r="E11" s="13">
        <v>500</v>
      </c>
      <c r="F11" s="13">
        <f t="shared" si="0"/>
        <v>0.44</v>
      </c>
      <c r="G11" s="13">
        <f t="shared" si="1"/>
        <v>0.17311849056603773</v>
      </c>
      <c r="H11" s="13"/>
      <c r="I11" s="13">
        <v>450</v>
      </c>
    </row>
    <row r="12" spans="1:9" ht="18" customHeight="1">
      <c r="A12" s="2"/>
      <c r="B12" s="14" t="s">
        <v>15</v>
      </c>
      <c r="C12" s="12" t="s">
        <v>16</v>
      </c>
      <c r="D12" s="15">
        <v>12200</v>
      </c>
      <c r="E12" s="16">
        <v>1300</v>
      </c>
      <c r="F12" s="16">
        <f t="shared" si="0"/>
        <v>1.1299999999999999</v>
      </c>
      <c r="G12" s="16">
        <f t="shared" si="1"/>
        <v>0.44459975986277867</v>
      </c>
      <c r="H12" s="15">
        <v>12000</v>
      </c>
      <c r="I12" s="16">
        <v>1200</v>
      </c>
    </row>
    <row r="13" spans="1:9" ht="18" customHeight="1">
      <c r="A13" s="2"/>
      <c r="B13" s="14" t="s">
        <v>17</v>
      </c>
      <c r="C13" s="12" t="s">
        <v>18</v>
      </c>
      <c r="D13" s="13"/>
      <c r="E13" s="16">
        <f>19500+850-61</f>
        <v>20289</v>
      </c>
      <c r="F13" s="16">
        <f t="shared" si="0"/>
        <v>17.690000000000001</v>
      </c>
      <c r="G13" s="16">
        <f t="shared" si="1"/>
        <v>6.9601502229845629</v>
      </c>
      <c r="H13" s="13"/>
      <c r="I13" s="16">
        <f>17627.5+3000+800</f>
        <v>21427.5</v>
      </c>
    </row>
    <row r="14" spans="1:9" ht="18" customHeight="1">
      <c r="A14" s="2"/>
      <c r="B14" s="14" t="s">
        <v>19</v>
      </c>
      <c r="C14" s="12" t="s">
        <v>20</v>
      </c>
      <c r="D14" s="13"/>
      <c r="E14" s="17">
        <f>SUM(E15:E17)</f>
        <v>41300</v>
      </c>
      <c r="F14" s="17">
        <f t="shared" si="0"/>
        <v>36.01</v>
      </c>
      <c r="G14" s="17">
        <f t="shared" si="1"/>
        <v>14.168174648370497</v>
      </c>
      <c r="H14" s="13"/>
      <c r="I14" s="17">
        <f>SUM(I15:I17)</f>
        <v>40612</v>
      </c>
    </row>
    <row r="15" spans="1:9" ht="18" customHeight="1">
      <c r="A15" s="2"/>
      <c r="B15" s="11" t="s">
        <v>7</v>
      </c>
      <c r="C15" s="12" t="s">
        <v>21</v>
      </c>
      <c r="D15" s="13"/>
      <c r="E15" s="13">
        <v>8500</v>
      </c>
      <c r="F15" s="13">
        <f t="shared" si="0"/>
        <v>7.41</v>
      </c>
      <c r="G15" s="13">
        <f t="shared" si="1"/>
        <v>2.9154727615780445</v>
      </c>
      <c r="H15" s="13"/>
      <c r="I15" s="13">
        <v>8300</v>
      </c>
    </row>
    <row r="16" spans="1:9" ht="18" customHeight="1">
      <c r="A16" s="2"/>
      <c r="B16" s="11" t="s">
        <v>9</v>
      </c>
      <c r="C16" s="12" t="s">
        <v>22</v>
      </c>
      <c r="D16" s="13"/>
      <c r="E16" s="18">
        <f>D12+D26+D31+D33+D24</f>
        <v>22500</v>
      </c>
      <c r="F16" s="18">
        <f t="shared" si="0"/>
        <v>19.62</v>
      </c>
      <c r="G16" s="18">
        <f t="shared" si="1"/>
        <v>7.7195108747855921</v>
      </c>
      <c r="H16" s="13"/>
      <c r="I16" s="18">
        <f>H12+H26+H31+H33+H24</f>
        <v>22012</v>
      </c>
    </row>
    <row r="17" spans="1:9" ht="18" customHeight="1">
      <c r="A17" s="2"/>
      <c r="B17" s="11" t="s">
        <v>11</v>
      </c>
      <c r="C17" s="12" t="s">
        <v>23</v>
      </c>
      <c r="D17" s="13"/>
      <c r="E17" s="13">
        <f>11100-800</f>
        <v>10300</v>
      </c>
      <c r="F17" s="13">
        <f t="shared" si="0"/>
        <v>8.98</v>
      </c>
      <c r="G17" s="13">
        <f t="shared" si="1"/>
        <v>3.5331910120068613</v>
      </c>
      <c r="H17" s="13"/>
      <c r="I17" s="13">
        <f>11100-800</f>
        <v>10300</v>
      </c>
    </row>
    <row r="18" spans="1:9" ht="18" customHeight="1">
      <c r="A18" s="2"/>
      <c r="B18" s="14" t="s">
        <v>24</v>
      </c>
      <c r="C18" s="12" t="s">
        <v>25</v>
      </c>
      <c r="D18" s="13"/>
      <c r="E18" s="17">
        <f>SUM(E19:E33)</f>
        <v>18797</v>
      </c>
      <c r="F18" s="17">
        <f t="shared" si="0"/>
        <v>16.39</v>
      </c>
      <c r="G18" s="17">
        <f t="shared" si="1"/>
        <v>6.4486637735849062</v>
      </c>
      <c r="H18" s="13"/>
      <c r="I18" s="17">
        <f>SUM(I19:I33)</f>
        <v>19230</v>
      </c>
    </row>
    <row r="19" spans="1:9" ht="18" customHeight="1">
      <c r="A19" s="2"/>
      <c r="B19" s="11" t="s">
        <v>7</v>
      </c>
      <c r="C19" s="12" t="s">
        <v>26</v>
      </c>
      <c r="D19" s="13"/>
      <c r="E19" s="13">
        <v>20</v>
      </c>
      <c r="F19" s="13">
        <f t="shared" si="0"/>
        <v>0.02</v>
      </c>
      <c r="G19" s="13">
        <f t="shared" si="1"/>
        <v>7.8690222984562613E-3</v>
      </c>
      <c r="H19" s="13"/>
      <c r="I19" s="13">
        <v>20</v>
      </c>
    </row>
    <row r="20" spans="1:9" ht="18" customHeight="1">
      <c r="A20" s="2"/>
      <c r="B20" s="11" t="s">
        <v>9</v>
      </c>
      <c r="C20" s="12" t="s">
        <v>27</v>
      </c>
      <c r="D20" s="13"/>
      <c r="E20" s="13">
        <v>50</v>
      </c>
      <c r="F20" s="13">
        <f t="shared" si="0"/>
        <v>0.04</v>
      </c>
      <c r="G20" s="13">
        <f t="shared" si="1"/>
        <v>1.5738044596912523E-2</v>
      </c>
      <c r="H20" s="13"/>
      <c r="I20" s="13">
        <v>50</v>
      </c>
    </row>
    <row r="21" spans="1:9" ht="18" customHeight="1">
      <c r="A21" s="2"/>
      <c r="B21" s="11" t="s">
        <v>11</v>
      </c>
      <c r="C21" s="12" t="s">
        <v>28</v>
      </c>
      <c r="D21" s="13"/>
      <c r="E21" s="13">
        <f>7650+61</f>
        <v>7711</v>
      </c>
      <c r="F21" s="13">
        <f t="shared" si="0"/>
        <v>6.72</v>
      </c>
      <c r="G21" s="13">
        <f t="shared" si="1"/>
        <v>2.6439914922813035</v>
      </c>
      <c r="H21" s="13"/>
      <c r="I21" s="13">
        <v>8500</v>
      </c>
    </row>
    <row r="22" spans="1:9" ht="18" customHeight="1">
      <c r="A22" s="2"/>
      <c r="B22" s="11" t="s">
        <v>13</v>
      </c>
      <c r="C22" s="12" t="s">
        <v>29</v>
      </c>
      <c r="D22" s="13"/>
      <c r="E22" s="13">
        <v>150</v>
      </c>
      <c r="F22" s="13">
        <f t="shared" si="0"/>
        <v>0.13</v>
      </c>
      <c r="G22" s="13">
        <f t="shared" si="1"/>
        <v>5.1148644939965696E-2</v>
      </c>
      <c r="H22" s="13"/>
      <c r="I22" s="13">
        <v>150</v>
      </c>
    </row>
    <row r="23" spans="1:9" ht="18" customHeight="1">
      <c r="A23" s="2"/>
      <c r="B23" s="11" t="s">
        <v>30</v>
      </c>
      <c r="C23" s="12" t="s">
        <v>31</v>
      </c>
      <c r="D23" s="13"/>
      <c r="E23" s="13">
        <v>140</v>
      </c>
      <c r="F23" s="13">
        <f t="shared" si="0"/>
        <v>0.12</v>
      </c>
      <c r="G23" s="13">
        <f t="shared" si="1"/>
        <v>4.7214133790737564E-2</v>
      </c>
      <c r="H23" s="13"/>
      <c r="I23" s="13">
        <v>140</v>
      </c>
    </row>
    <row r="24" spans="1:9" ht="18" customHeight="1">
      <c r="A24" s="2"/>
      <c r="B24" s="11" t="s">
        <v>32</v>
      </c>
      <c r="C24" s="12" t="s">
        <v>33</v>
      </c>
      <c r="D24" s="13"/>
      <c r="E24" s="13">
        <v>0</v>
      </c>
      <c r="F24" s="13">
        <f t="shared" si="0"/>
        <v>0</v>
      </c>
      <c r="G24" s="13">
        <f t="shared" si="1"/>
        <v>0</v>
      </c>
      <c r="H24" s="13"/>
      <c r="I24" s="13">
        <v>0</v>
      </c>
    </row>
    <row r="25" spans="1:9" ht="18" customHeight="1">
      <c r="A25" s="2"/>
      <c r="B25" s="11" t="s">
        <v>34</v>
      </c>
      <c r="C25" s="12" t="s">
        <v>35</v>
      </c>
      <c r="D25" s="13"/>
      <c r="E25" s="13">
        <v>500</v>
      </c>
      <c r="F25" s="13">
        <f t="shared" si="0"/>
        <v>0.44</v>
      </c>
      <c r="G25" s="13">
        <f t="shared" si="1"/>
        <v>0.17311849056603773</v>
      </c>
      <c r="H25" s="13"/>
      <c r="I25" s="13">
        <v>500</v>
      </c>
    </row>
    <row r="26" spans="1:9" ht="18" customHeight="1">
      <c r="A26" s="2"/>
      <c r="B26" s="11" t="s">
        <v>36</v>
      </c>
      <c r="C26" s="12" t="s">
        <v>37</v>
      </c>
      <c r="D26" s="13">
        <v>4150</v>
      </c>
      <c r="E26" s="13">
        <v>180</v>
      </c>
      <c r="F26" s="13">
        <f t="shared" si="0"/>
        <v>0.16</v>
      </c>
      <c r="G26" s="13">
        <f t="shared" si="1"/>
        <v>6.295217838765009E-2</v>
      </c>
      <c r="H26" s="13">
        <v>4082</v>
      </c>
      <c r="I26" s="13">
        <v>104</v>
      </c>
    </row>
    <row r="27" spans="1:9" ht="18" customHeight="1">
      <c r="A27" s="2"/>
      <c r="B27" s="11" t="s">
        <v>38</v>
      </c>
      <c r="C27" s="12" t="s">
        <v>39</v>
      </c>
      <c r="D27" s="13"/>
      <c r="E27" s="13">
        <v>80</v>
      </c>
      <c r="F27" s="13">
        <f t="shared" si="0"/>
        <v>7.0000000000000007E-2</v>
      </c>
      <c r="G27" s="13">
        <f t="shared" si="1"/>
        <v>2.7541578044596914E-2</v>
      </c>
      <c r="H27" s="13"/>
      <c r="I27" s="13">
        <v>80</v>
      </c>
    </row>
    <row r="28" spans="1:9" ht="18" customHeight="1">
      <c r="A28" s="2"/>
      <c r="B28" s="11" t="s">
        <v>40</v>
      </c>
      <c r="C28" s="12" t="s">
        <v>41</v>
      </c>
      <c r="D28" s="13"/>
      <c r="E28" s="13">
        <v>2100</v>
      </c>
      <c r="F28" s="13">
        <f t="shared" si="0"/>
        <v>1.83</v>
      </c>
      <c r="G28" s="13">
        <f t="shared" si="1"/>
        <v>0.72001554030874781</v>
      </c>
      <c r="H28" s="13"/>
      <c r="I28" s="13">
        <v>2020</v>
      </c>
    </row>
    <row r="29" spans="1:9" ht="18" customHeight="1">
      <c r="A29" s="2"/>
      <c r="B29" s="11" t="s">
        <v>42</v>
      </c>
      <c r="C29" s="12" t="s">
        <v>43</v>
      </c>
      <c r="D29" s="13"/>
      <c r="E29" s="13">
        <v>116</v>
      </c>
      <c r="F29" s="13">
        <f t="shared" si="0"/>
        <v>0.1</v>
      </c>
      <c r="G29" s="13">
        <f t="shared" si="1"/>
        <v>3.9345111492281308E-2</v>
      </c>
      <c r="H29" s="13"/>
      <c r="I29" s="13">
        <v>116</v>
      </c>
    </row>
    <row r="30" spans="1:9" ht="18" customHeight="1">
      <c r="A30" s="2"/>
      <c r="B30" s="11" t="s">
        <v>44</v>
      </c>
      <c r="C30" s="12" t="s">
        <v>45</v>
      </c>
      <c r="D30" s="13"/>
      <c r="E30" s="13">
        <v>4400</v>
      </c>
      <c r="F30" s="13">
        <f t="shared" si="0"/>
        <v>3.84</v>
      </c>
      <c r="G30" s="13">
        <f t="shared" si="1"/>
        <v>1.5108522813036021</v>
      </c>
      <c r="H30" s="13"/>
      <c r="I30" s="13">
        <v>4300</v>
      </c>
    </row>
    <row r="31" spans="1:9" ht="18" customHeight="1">
      <c r="A31" s="2"/>
      <c r="B31" s="11" t="s">
        <v>46</v>
      </c>
      <c r="C31" s="12" t="s">
        <v>47</v>
      </c>
      <c r="D31" s="15">
        <v>2700</v>
      </c>
      <c r="E31" s="13"/>
      <c r="F31" s="13">
        <f t="shared" si="0"/>
        <v>0</v>
      </c>
      <c r="G31" s="13">
        <f t="shared" si="1"/>
        <v>0</v>
      </c>
      <c r="H31" s="15">
        <v>2600</v>
      </c>
      <c r="I31" s="13"/>
    </row>
    <row r="32" spans="1:9" ht="18" customHeight="1">
      <c r="A32" s="2"/>
      <c r="B32" s="11" t="s">
        <v>48</v>
      </c>
      <c r="C32" s="12" t="s">
        <v>49</v>
      </c>
      <c r="D32" s="13"/>
      <c r="E32" s="13">
        <v>3350</v>
      </c>
      <c r="F32" s="13">
        <f t="shared" si="0"/>
        <v>2.92</v>
      </c>
      <c r="G32" s="13">
        <f t="shared" si="1"/>
        <v>1.1488772555746141</v>
      </c>
      <c r="H32" s="13"/>
      <c r="I32" s="13">
        <v>3250</v>
      </c>
    </row>
    <row r="33" spans="1:9" ht="18" customHeight="1">
      <c r="A33" s="2"/>
      <c r="B33" s="11" t="s">
        <v>50</v>
      </c>
      <c r="C33" s="12" t="s">
        <v>51</v>
      </c>
      <c r="D33" s="15">
        <v>3450</v>
      </c>
      <c r="E33" s="13"/>
      <c r="F33" s="13">
        <f t="shared" si="0"/>
        <v>0</v>
      </c>
      <c r="G33" s="13">
        <f t="shared" si="1"/>
        <v>0</v>
      </c>
      <c r="H33" s="15">
        <v>3330</v>
      </c>
      <c r="I33" s="13"/>
    </row>
    <row r="34" spans="1:9" ht="18" customHeight="1">
      <c r="A34" s="2"/>
      <c r="B34" s="14" t="s">
        <v>52</v>
      </c>
      <c r="C34" s="12" t="s">
        <v>53</v>
      </c>
      <c r="D34" s="13"/>
      <c r="E34" s="19">
        <f>SUM(E7,E12,E13,E14,E18)</f>
        <v>91001</v>
      </c>
      <c r="F34" s="19">
        <f t="shared" si="0"/>
        <v>79.34</v>
      </c>
      <c r="G34" s="19">
        <f t="shared" si="1"/>
        <v>31.216411457975987</v>
      </c>
      <c r="H34" s="13"/>
      <c r="I34" s="19">
        <f>SUM(I7,I12,I13,I14,I18)</f>
        <v>91729.5</v>
      </c>
    </row>
    <row r="35" spans="1:9" ht="18" customHeight="1">
      <c r="A35" s="2"/>
      <c r="B35" s="14" t="s">
        <v>54</v>
      </c>
      <c r="C35" s="12" t="s">
        <v>55</v>
      </c>
      <c r="D35" s="13"/>
      <c r="E35" s="16">
        <v>13900</v>
      </c>
      <c r="F35" s="16">
        <f t="shared" si="0"/>
        <v>12.12</v>
      </c>
      <c r="G35" s="16">
        <f t="shared" si="1"/>
        <v>4.7686275128644944</v>
      </c>
      <c r="H35" s="13"/>
      <c r="I35" s="16">
        <v>13735</v>
      </c>
    </row>
    <row r="36" spans="1:9" ht="18" customHeight="1">
      <c r="A36" s="2"/>
      <c r="B36" s="14" t="s">
        <v>56</v>
      </c>
      <c r="C36" s="12" t="s">
        <v>57</v>
      </c>
      <c r="D36" s="13"/>
      <c r="E36" s="16">
        <v>10800</v>
      </c>
      <c r="F36" s="16">
        <f t="shared" si="0"/>
        <v>9.42</v>
      </c>
      <c r="G36" s="16">
        <f t="shared" si="1"/>
        <v>3.7063095025728989</v>
      </c>
      <c r="H36" s="13"/>
      <c r="I36" s="16">
        <v>10650</v>
      </c>
    </row>
    <row r="37" spans="1:9" ht="18" customHeight="1">
      <c r="A37" s="2"/>
      <c r="B37" s="14" t="s">
        <v>58</v>
      </c>
      <c r="C37" s="12" t="s">
        <v>59</v>
      </c>
      <c r="D37" s="13"/>
      <c r="E37" s="16">
        <v>990</v>
      </c>
      <c r="F37" s="16">
        <f t="shared" si="0"/>
        <v>0.86</v>
      </c>
      <c r="G37" s="16">
        <f t="shared" si="1"/>
        <v>0.33836795883361925</v>
      </c>
      <c r="H37" s="13"/>
      <c r="I37" s="16">
        <v>960</v>
      </c>
    </row>
    <row r="38" spans="1:9" ht="18" customHeight="1">
      <c r="A38" s="2"/>
      <c r="B38" s="14" t="s">
        <v>60</v>
      </c>
      <c r="C38" s="12" t="s">
        <v>61</v>
      </c>
      <c r="D38" s="13"/>
      <c r="E38" s="19">
        <f>SUM(E34,E35,E36,E37)</f>
        <v>116691</v>
      </c>
      <c r="F38" s="19">
        <f t="shared" si="0"/>
        <v>101.74</v>
      </c>
      <c r="G38" s="19">
        <f t="shared" si="1"/>
        <v>40.029716432247</v>
      </c>
      <c r="H38" s="13"/>
      <c r="I38" s="19">
        <f>SUM(I34,I35,I36,I37)</f>
        <v>117074.5</v>
      </c>
    </row>
    <row r="39" spans="1:9" ht="18" customHeight="1">
      <c r="A39" s="2"/>
      <c r="B39" s="14" t="s">
        <v>62</v>
      </c>
      <c r="C39" s="12" t="s">
        <v>63</v>
      </c>
      <c r="D39" s="13"/>
      <c r="E39" s="16">
        <v>-2000</v>
      </c>
      <c r="F39" s="16">
        <f t="shared" si="0"/>
        <v>-1.74</v>
      </c>
      <c r="G39" s="16">
        <f t="shared" si="1"/>
        <v>-0.68460493996569471</v>
      </c>
      <c r="H39" s="13"/>
      <c r="I39" s="16">
        <f>-1840-300</f>
        <v>-2140</v>
      </c>
    </row>
    <row r="40" spans="1:9" ht="18" customHeight="1">
      <c r="A40" s="2"/>
      <c r="B40" s="14" t="s">
        <v>64</v>
      </c>
      <c r="C40" s="12" t="s">
        <v>65</v>
      </c>
      <c r="D40" s="13"/>
      <c r="E40" s="19">
        <f>SUM(E38,E39)</f>
        <v>114691</v>
      </c>
      <c r="F40" s="19">
        <f t="shared" si="0"/>
        <v>100</v>
      </c>
      <c r="G40" s="19">
        <f>($E$44*F40)/100</f>
        <v>39.345111492281305</v>
      </c>
      <c r="H40" s="13"/>
      <c r="I40" s="19">
        <f>SUM(I38,I39)</f>
        <v>114934.5</v>
      </c>
    </row>
    <row r="41" spans="1:9" ht="18" customHeight="1">
      <c r="A41" s="2"/>
      <c r="B41" s="14" t="s">
        <v>66</v>
      </c>
      <c r="C41" s="12" t="s">
        <v>67</v>
      </c>
      <c r="D41" s="13"/>
      <c r="E41" s="20">
        <f>SUM(E42,E43)</f>
        <v>2915</v>
      </c>
      <c r="F41" s="20"/>
      <c r="G41" s="20"/>
      <c r="H41" s="13"/>
      <c r="I41" s="20">
        <f>SUM(I42,I43)</f>
        <v>2915</v>
      </c>
    </row>
    <row r="42" spans="1:9" ht="18" customHeight="1">
      <c r="A42" s="2"/>
      <c r="B42" s="14"/>
      <c r="C42" s="12" t="s">
        <v>68</v>
      </c>
      <c r="D42" s="13"/>
      <c r="E42" s="13">
        <f>2020+65</f>
        <v>2085</v>
      </c>
      <c r="F42" s="13"/>
      <c r="G42" s="13"/>
      <c r="H42" s="13"/>
      <c r="I42" s="13">
        <f>2020+65</f>
        <v>2085</v>
      </c>
    </row>
    <row r="43" spans="1:9" ht="18" customHeight="1">
      <c r="A43" s="2"/>
      <c r="B43" s="14"/>
      <c r="C43" s="12" t="s">
        <v>69</v>
      </c>
      <c r="D43" s="13"/>
      <c r="E43" s="13">
        <f>725+105</f>
        <v>830</v>
      </c>
      <c r="F43" s="13"/>
      <c r="G43" s="13"/>
      <c r="H43" s="13"/>
      <c r="I43" s="13">
        <f>725+105</f>
        <v>830</v>
      </c>
    </row>
    <row r="44" spans="1:9" s="25" customFormat="1" ht="18" customHeight="1">
      <c r="A44" s="21"/>
      <c r="B44" s="22" t="s">
        <v>70</v>
      </c>
      <c r="C44" s="23" t="s">
        <v>71</v>
      </c>
      <c r="D44" s="24"/>
      <c r="E44" s="24">
        <f>E40/E41</f>
        <v>39.345111492281305</v>
      </c>
      <c r="F44" s="24"/>
      <c r="G44" s="24"/>
      <c r="H44" s="24"/>
      <c r="I44" s="24">
        <f>I40/I41</f>
        <v>39.428644939965693</v>
      </c>
    </row>
    <row r="45" spans="1:9" ht="18" customHeight="1">
      <c r="A45" s="2"/>
      <c r="B45" s="14" t="s">
        <v>72</v>
      </c>
      <c r="C45" s="12" t="s">
        <v>73</v>
      </c>
      <c r="D45" s="13"/>
      <c r="E45" s="26">
        <v>40.65</v>
      </c>
      <c r="F45" s="26"/>
      <c r="G45" s="26"/>
      <c r="H45" s="13"/>
      <c r="I45" s="26">
        <v>40.65</v>
      </c>
    </row>
    <row r="46" spans="1:9" ht="18" customHeight="1">
      <c r="A46" s="2"/>
      <c r="B46" s="14"/>
      <c r="C46" s="12" t="s">
        <v>74</v>
      </c>
      <c r="D46" s="13"/>
      <c r="E46" s="26">
        <v>40.65</v>
      </c>
      <c r="F46" s="26"/>
      <c r="G46" s="26"/>
      <c r="H46" s="13"/>
      <c r="I46" s="26">
        <v>40.65</v>
      </c>
    </row>
    <row r="47" spans="1:9" ht="18" customHeight="1">
      <c r="A47" s="2"/>
      <c r="B47" s="14" t="s">
        <v>75</v>
      </c>
      <c r="C47" s="12" t="s">
        <v>76</v>
      </c>
      <c r="D47" s="13"/>
      <c r="E47" s="26">
        <f>E45-E44</f>
        <v>1.3048885077186938</v>
      </c>
      <c r="F47" s="26"/>
      <c r="G47" s="26"/>
      <c r="H47" s="13"/>
      <c r="I47" s="26">
        <f>I45-I44</f>
        <v>1.2213550600343055</v>
      </c>
    </row>
    <row r="48" spans="1:9" ht="18" customHeight="1">
      <c r="A48" s="2"/>
      <c r="B48" s="14"/>
      <c r="C48" s="12" t="s">
        <v>77</v>
      </c>
      <c r="D48" s="13"/>
      <c r="E48" s="26">
        <f>E46-E44</f>
        <v>1.3048885077186938</v>
      </c>
      <c r="F48" s="26"/>
      <c r="G48" s="26"/>
      <c r="H48" s="13"/>
      <c r="I48" s="26">
        <f>I46-I44</f>
        <v>1.2213550600343055</v>
      </c>
    </row>
    <row r="49" spans="1:9" s="25" customFormat="1" ht="18" customHeight="1" thickBot="1">
      <c r="A49" s="21"/>
      <c r="B49" s="27" t="s">
        <v>78</v>
      </c>
      <c r="C49" s="28" t="s">
        <v>79</v>
      </c>
      <c r="D49" s="29"/>
      <c r="E49" s="30">
        <f>E50/E40</f>
        <v>3.3165200408052944E-2</v>
      </c>
      <c r="F49" s="30"/>
      <c r="G49" s="30"/>
      <c r="H49" s="29"/>
      <c r="I49" s="30">
        <f>I50/I40</f>
        <v>3.0976338697258004E-2</v>
      </c>
    </row>
    <row r="50" spans="1:9" ht="18" customHeight="1" thickBot="1">
      <c r="A50" s="2"/>
      <c r="B50" s="31" t="s">
        <v>80</v>
      </c>
      <c r="C50" s="32" t="s">
        <v>81</v>
      </c>
      <c r="D50" s="33"/>
      <c r="E50" s="34">
        <f>((E45*E42+E46*E43)-E40)</f>
        <v>3803.75</v>
      </c>
      <c r="F50" s="34"/>
      <c r="G50" s="34"/>
      <c r="H50" s="33"/>
      <c r="I50" s="34">
        <f>((I45*I42+I46*I43)-I40)</f>
        <v>3560.25</v>
      </c>
    </row>
    <row r="51" spans="1:9" ht="18" customHeight="1">
      <c r="A51" s="2"/>
      <c r="B51" s="2"/>
      <c r="C51" s="5"/>
      <c r="D51" s="4"/>
      <c r="E51" s="4">
        <v>3804</v>
      </c>
      <c r="F51" s="4"/>
      <c r="G51" s="4"/>
      <c r="H51" s="4"/>
      <c r="I51" s="4"/>
    </row>
    <row r="52" spans="1:9" ht="18" customHeight="1">
      <c r="A52" s="2"/>
      <c r="B52" s="2"/>
      <c r="C52" s="5"/>
      <c r="D52" s="4"/>
      <c r="E52" s="4"/>
      <c r="F52" s="4"/>
      <c r="G52" s="4"/>
      <c r="H52" s="4"/>
      <c r="I52" s="4"/>
    </row>
    <row r="53" spans="1:9" ht="18" customHeight="1">
      <c r="A53" s="2"/>
      <c r="B53" s="2" t="s">
        <v>82</v>
      </c>
      <c r="C53" s="5"/>
      <c r="D53" s="4" t="s">
        <v>83</v>
      </c>
      <c r="E53" s="4"/>
      <c r="F53" s="4"/>
      <c r="G53" s="4"/>
      <c r="H53" s="4"/>
      <c r="I53" s="4"/>
    </row>
    <row r="54" spans="1:9" ht="18" customHeight="1">
      <c r="A54" s="2"/>
      <c r="B54" s="2" t="s">
        <v>84</v>
      </c>
      <c r="C54" s="35" t="s">
        <v>85</v>
      </c>
      <c r="D54" s="4"/>
      <c r="E54" s="4"/>
      <c r="F54" s="4"/>
      <c r="G54" s="4"/>
      <c r="H54" s="4"/>
      <c r="I54" s="4"/>
    </row>
    <row r="55" spans="1:9" ht="18" customHeight="1">
      <c r="A55" s="2"/>
      <c r="B55" s="2"/>
      <c r="C55" s="35"/>
      <c r="D55" s="4"/>
      <c r="E55" s="4"/>
      <c r="F55" s="4"/>
      <c r="G55" s="4"/>
      <c r="H55" s="4"/>
      <c r="I55" s="4"/>
    </row>
    <row r="56" spans="1:9" ht="18" customHeight="1">
      <c r="A56" s="2"/>
      <c r="B56" s="2"/>
      <c r="C56" s="5"/>
      <c r="D56" s="4"/>
      <c r="E56" s="4"/>
      <c r="F56" s="4"/>
      <c r="G56" s="4"/>
      <c r="H56" s="4"/>
      <c r="I56" s="4"/>
    </row>
    <row r="57" spans="1:9">
      <c r="A57" s="36"/>
      <c r="B57" s="1"/>
      <c r="C57" s="37"/>
      <c r="D57" s="38"/>
      <c r="E57" s="38"/>
      <c r="F57" s="38"/>
      <c r="G57" s="38"/>
      <c r="H57" s="38"/>
      <c r="I57" s="38"/>
    </row>
    <row r="58" spans="1:9">
      <c r="A58" s="36"/>
      <c r="B58" s="1"/>
      <c r="C58" s="37"/>
      <c r="D58" s="38"/>
      <c r="E58" s="38"/>
      <c r="F58" s="38"/>
      <c r="G58" s="38"/>
      <c r="H58" s="38"/>
      <c r="I58" s="38"/>
    </row>
    <row r="59" spans="1:9">
      <c r="A59" s="36"/>
      <c r="B59" s="1"/>
      <c r="C59" s="37"/>
      <c r="D59" s="38"/>
      <c r="E59" s="38"/>
      <c r="F59" s="38"/>
      <c r="G59" s="38"/>
      <c r="H59" s="38"/>
      <c r="I59" s="38"/>
    </row>
    <row r="60" spans="1:9">
      <c r="A60" s="1"/>
      <c r="B60" s="1"/>
      <c r="C60" s="37"/>
      <c r="D60" s="38"/>
      <c r="E60" s="38"/>
      <c r="F60" s="38"/>
      <c r="G60" s="38"/>
      <c r="H60" s="38"/>
      <c r="I60" s="38"/>
    </row>
    <row r="61" spans="1:9">
      <c r="A61" s="1"/>
      <c r="B61" s="1"/>
      <c r="C61" s="37"/>
      <c r="D61" s="38"/>
      <c r="E61" s="38"/>
      <c r="F61" s="38"/>
      <c r="G61" s="38"/>
      <c r="H61" s="38"/>
      <c r="I61" s="38"/>
    </row>
    <row r="62" spans="1:9">
      <c r="A62" s="1"/>
      <c r="B62" s="1"/>
      <c r="C62" s="37"/>
      <c r="D62" s="38"/>
      <c r="E62" s="38"/>
      <c r="F62" s="38"/>
      <c r="G62" s="38"/>
      <c r="H62" s="38"/>
      <c r="I62" s="38"/>
    </row>
    <row r="63" spans="1:9" ht="21">
      <c r="A63" s="1"/>
      <c r="B63" s="57" t="s">
        <v>86</v>
      </c>
      <c r="C63" s="57"/>
      <c r="D63" s="57"/>
      <c r="E63" s="57"/>
      <c r="F63" s="42"/>
      <c r="G63" s="42"/>
      <c r="H63"/>
      <c r="I63"/>
    </row>
    <row r="64" spans="1:9" ht="15.6">
      <c r="A64" s="1"/>
      <c r="B64" s="58" t="s">
        <v>1</v>
      </c>
      <c r="C64" s="58"/>
      <c r="D64" s="58"/>
      <c r="E64" s="58"/>
      <c r="F64" s="43"/>
      <c r="G64" s="43"/>
      <c r="H64"/>
      <c r="I64"/>
    </row>
    <row r="65" spans="1:9" ht="13.8">
      <c r="A65" s="2"/>
      <c r="B65" s="2"/>
      <c r="C65" s="5"/>
      <c r="D65" s="4"/>
      <c r="E65" s="4"/>
      <c r="F65" s="4"/>
      <c r="G65" s="4"/>
      <c r="H65" s="4"/>
      <c r="I65" s="4"/>
    </row>
    <row r="66" spans="1:9" ht="18" customHeight="1">
      <c r="A66" s="2"/>
      <c r="B66" s="2"/>
      <c r="C66" s="5"/>
      <c r="D66" s="4"/>
      <c r="E66" s="4"/>
      <c r="F66" s="4"/>
      <c r="G66" s="4"/>
      <c r="H66" s="4"/>
      <c r="I66" s="4"/>
    </row>
    <row r="67" spans="1:9" ht="18" customHeight="1">
      <c r="A67" s="2"/>
      <c r="B67" s="2"/>
      <c r="C67" s="6" t="s">
        <v>2</v>
      </c>
      <c r="D67" s="4"/>
      <c r="E67" s="4"/>
      <c r="F67" s="4"/>
      <c r="G67" s="4"/>
      <c r="H67" s="4"/>
      <c r="I67" s="4"/>
    </row>
    <row r="68" spans="1:9" ht="29.25" customHeight="1" thickBot="1">
      <c r="A68" s="2"/>
      <c r="B68" s="56" t="s">
        <v>87</v>
      </c>
      <c r="C68" s="56"/>
      <c r="D68" s="39" t="s">
        <v>88</v>
      </c>
      <c r="E68" s="39" t="s">
        <v>89</v>
      </c>
      <c r="F68" s="44" t="s">
        <v>97</v>
      </c>
      <c r="G68" s="44" t="s">
        <v>98</v>
      </c>
      <c r="H68" t="s">
        <v>4</v>
      </c>
      <c r="I68" t="s">
        <v>4</v>
      </c>
    </row>
    <row r="69" spans="1:9" ht="18" customHeight="1">
      <c r="A69" s="2"/>
      <c r="B69" s="7" t="s">
        <v>5</v>
      </c>
      <c r="C69" s="8" t="s">
        <v>6</v>
      </c>
      <c r="D69" s="9"/>
      <c r="E69" s="10">
        <f>SUM(E70:E73)</f>
        <v>5850</v>
      </c>
      <c r="F69" s="10">
        <f>ROUND((E69/$E$102)*100,2)</f>
        <v>5.66</v>
      </c>
      <c r="G69" s="10">
        <f>($E$106*F69)/100</f>
        <v>2.2230241825095058</v>
      </c>
      <c r="H69" s="9"/>
      <c r="I69" s="10">
        <f>SUM(I70:I73)</f>
        <v>5600</v>
      </c>
    </row>
    <row r="70" spans="1:9" ht="18" customHeight="1">
      <c r="A70" s="2"/>
      <c r="B70" s="11" t="s">
        <v>7</v>
      </c>
      <c r="C70" s="12" t="s">
        <v>8</v>
      </c>
      <c r="D70" s="13"/>
      <c r="E70" s="13">
        <v>1850</v>
      </c>
      <c r="F70" s="13">
        <f t="shared" ref="F70:F102" si="2">ROUND((E70/$E$102)*100,2)</f>
        <v>1.79</v>
      </c>
      <c r="G70" s="13">
        <f t="shared" ref="G70:G102" si="3">($E$106*F70)/100</f>
        <v>0.70304121673003805</v>
      </c>
      <c r="H70" s="13"/>
      <c r="I70" s="13">
        <v>1750</v>
      </c>
    </row>
    <row r="71" spans="1:9" ht="18" customHeight="1">
      <c r="A71" s="2"/>
      <c r="B71" s="11" t="s">
        <v>9</v>
      </c>
      <c r="C71" s="12" t="s">
        <v>10</v>
      </c>
      <c r="D71" s="13"/>
      <c r="E71" s="13"/>
      <c r="F71" s="13">
        <f t="shared" si="2"/>
        <v>0</v>
      </c>
      <c r="G71" s="13">
        <f t="shared" si="3"/>
        <v>0</v>
      </c>
      <c r="H71" s="13"/>
      <c r="I71" s="13"/>
    </row>
    <row r="72" spans="1:9" ht="18" customHeight="1">
      <c r="A72" s="2"/>
      <c r="B72" s="11" t="s">
        <v>11</v>
      </c>
      <c r="C72" s="12" t="s">
        <v>12</v>
      </c>
      <c r="D72" s="13"/>
      <c r="E72" s="13"/>
      <c r="F72" s="13">
        <f t="shared" si="2"/>
        <v>0</v>
      </c>
      <c r="G72" s="13">
        <f t="shared" si="3"/>
        <v>0</v>
      </c>
      <c r="H72" s="13"/>
      <c r="I72" s="13"/>
    </row>
    <row r="73" spans="1:9" ht="18" customHeight="1">
      <c r="A73" s="2"/>
      <c r="B73" s="11" t="s">
        <v>13</v>
      </c>
      <c r="C73" s="12" t="s">
        <v>90</v>
      </c>
      <c r="D73" s="13"/>
      <c r="E73" s="13">
        <v>4000</v>
      </c>
      <c r="F73" s="13">
        <f t="shared" si="2"/>
        <v>3.87</v>
      </c>
      <c r="G73" s="13">
        <f t="shared" si="3"/>
        <v>1.5199829657794677</v>
      </c>
      <c r="H73" s="13"/>
      <c r="I73" s="13">
        <v>3850</v>
      </c>
    </row>
    <row r="74" spans="1:9" ht="18" customHeight="1">
      <c r="A74" s="2"/>
      <c r="B74" s="14" t="s">
        <v>15</v>
      </c>
      <c r="C74" s="12" t="s">
        <v>16</v>
      </c>
      <c r="D74" s="15">
        <v>7500</v>
      </c>
      <c r="E74" s="16"/>
      <c r="F74" s="16">
        <f t="shared" si="2"/>
        <v>0</v>
      </c>
      <c r="G74" s="16">
        <f t="shared" si="3"/>
        <v>0</v>
      </c>
      <c r="H74" s="15">
        <v>7300</v>
      </c>
      <c r="I74" s="16"/>
    </row>
    <row r="75" spans="1:9" ht="18" customHeight="1">
      <c r="A75" s="2"/>
      <c r="B75" s="14" t="s">
        <v>17</v>
      </c>
      <c r="C75" s="12" t="s">
        <v>18</v>
      </c>
      <c r="D75" s="13"/>
      <c r="E75" s="16">
        <f>51400-942-1052</f>
        <v>49406</v>
      </c>
      <c r="F75" s="16">
        <f t="shared" si="2"/>
        <v>47.83</v>
      </c>
      <c r="G75" s="16">
        <f t="shared" si="3"/>
        <v>18.785732623574145</v>
      </c>
      <c r="H75" s="13"/>
      <c r="I75" s="16">
        <f>49435+2000</f>
        <v>51435</v>
      </c>
    </row>
    <row r="76" spans="1:9" ht="18" customHeight="1">
      <c r="A76" s="2"/>
      <c r="B76" s="14" t="s">
        <v>19</v>
      </c>
      <c r="C76" s="12" t="s">
        <v>20</v>
      </c>
      <c r="D76" s="13"/>
      <c r="E76" s="17">
        <f>SUM(E77:E79)</f>
        <v>20460</v>
      </c>
      <c r="F76" s="17">
        <f t="shared" si="2"/>
        <v>19.809999999999999</v>
      </c>
      <c r="G76" s="17">
        <f t="shared" si="3"/>
        <v>7.78058463878327</v>
      </c>
      <c r="H76" s="13"/>
      <c r="I76" s="17">
        <f>SUM(I77:I79)</f>
        <v>19881</v>
      </c>
    </row>
    <row r="77" spans="1:9" ht="18" customHeight="1">
      <c r="A77" s="2"/>
      <c r="B77" s="11" t="s">
        <v>7</v>
      </c>
      <c r="C77" s="12" t="s">
        <v>21</v>
      </c>
      <c r="D77" s="13"/>
      <c r="E77" s="13">
        <v>3000</v>
      </c>
      <c r="F77" s="13">
        <f t="shared" si="2"/>
        <v>2.9</v>
      </c>
      <c r="G77" s="13">
        <f t="shared" si="3"/>
        <v>1.1390053231939163</v>
      </c>
      <c r="H77" s="13"/>
      <c r="I77" s="13">
        <v>2750</v>
      </c>
    </row>
    <row r="78" spans="1:9" ht="18" customHeight="1">
      <c r="A78" s="2"/>
      <c r="B78" s="11" t="s">
        <v>9</v>
      </c>
      <c r="C78" s="12" t="s">
        <v>22</v>
      </c>
      <c r="D78" s="13"/>
      <c r="E78" s="18">
        <f>D74+D88+D95+D93</f>
        <v>15960</v>
      </c>
      <c r="F78" s="18">
        <f t="shared" si="2"/>
        <v>15.45</v>
      </c>
      <c r="G78" s="18">
        <f t="shared" si="3"/>
        <v>6.0681490494296577</v>
      </c>
      <c r="H78" s="13"/>
      <c r="I78" s="18">
        <f>H74+H88+H95+H93</f>
        <v>15631</v>
      </c>
    </row>
    <row r="79" spans="1:9" ht="18" customHeight="1">
      <c r="A79" s="2"/>
      <c r="B79" s="11" t="s">
        <v>11</v>
      </c>
      <c r="C79" s="12" t="s">
        <v>91</v>
      </c>
      <c r="D79" s="13"/>
      <c r="E79" s="13">
        <v>1500</v>
      </c>
      <c r="F79" s="13">
        <f t="shared" si="2"/>
        <v>1.45</v>
      </c>
      <c r="G79" s="13">
        <f t="shared" si="3"/>
        <v>0.56950266159695817</v>
      </c>
      <c r="H79" s="13"/>
      <c r="I79" s="13">
        <v>1500</v>
      </c>
    </row>
    <row r="80" spans="1:9" ht="18" customHeight="1">
      <c r="A80" s="2"/>
      <c r="B80" s="14" t="s">
        <v>24</v>
      </c>
      <c r="C80" s="12" t="s">
        <v>25</v>
      </c>
      <c r="D80" s="13"/>
      <c r="E80" s="17">
        <f>SUM(E81:E95)+D86</f>
        <v>14640</v>
      </c>
      <c r="F80" s="17">
        <f t="shared" si="2"/>
        <v>14.17</v>
      </c>
      <c r="G80" s="17">
        <f t="shared" si="3"/>
        <v>5.5654156653992395</v>
      </c>
      <c r="H80" s="13"/>
      <c r="I80" s="17">
        <f>SUM(I81:I95)+H86</f>
        <v>14640</v>
      </c>
    </row>
    <row r="81" spans="1:9" ht="18" customHeight="1">
      <c r="A81" s="2"/>
      <c r="B81" s="11" t="s">
        <v>7</v>
      </c>
      <c r="C81" s="12" t="s">
        <v>26</v>
      </c>
      <c r="D81" s="13"/>
      <c r="E81" s="13">
        <v>15</v>
      </c>
      <c r="F81" s="13">
        <f t="shared" si="2"/>
        <v>0.01</v>
      </c>
      <c r="G81" s="13">
        <f t="shared" si="3"/>
        <v>3.9276045627376424E-3</v>
      </c>
      <c r="H81" s="13"/>
      <c r="I81" s="13">
        <v>15</v>
      </c>
    </row>
    <row r="82" spans="1:9" ht="18" customHeight="1">
      <c r="A82" s="2"/>
      <c r="B82" s="11" t="s">
        <v>9</v>
      </c>
      <c r="C82" s="12" t="s">
        <v>27</v>
      </c>
      <c r="D82" s="13"/>
      <c r="E82" s="13">
        <v>50</v>
      </c>
      <c r="F82" s="13">
        <f t="shared" si="2"/>
        <v>0.05</v>
      </c>
      <c r="G82" s="13">
        <f t="shared" si="3"/>
        <v>1.9638022813688216E-2</v>
      </c>
      <c r="H82" s="13"/>
      <c r="I82" s="13">
        <v>50</v>
      </c>
    </row>
    <row r="83" spans="1:9" ht="18" customHeight="1">
      <c r="A83" s="2"/>
      <c r="B83" s="11" t="s">
        <v>11</v>
      </c>
      <c r="C83" s="12" t="s">
        <v>28</v>
      </c>
      <c r="D83" s="13"/>
      <c r="E83" s="13">
        <f>8600-850</f>
        <v>7750</v>
      </c>
      <c r="F83" s="13">
        <f t="shared" si="2"/>
        <v>7.5</v>
      </c>
      <c r="G83" s="13">
        <f t="shared" si="3"/>
        <v>2.9457034220532319</v>
      </c>
      <c r="H83" s="13"/>
      <c r="I83" s="13">
        <v>8600</v>
      </c>
    </row>
    <row r="84" spans="1:9" ht="18" customHeight="1">
      <c r="A84" s="2"/>
      <c r="B84" s="11" t="s">
        <v>13</v>
      </c>
      <c r="C84" s="12" t="s">
        <v>29</v>
      </c>
      <c r="D84" s="13"/>
      <c r="E84" s="13">
        <v>200</v>
      </c>
      <c r="F84" s="13">
        <f t="shared" si="2"/>
        <v>0.19</v>
      </c>
      <c r="G84" s="13">
        <f t="shared" si="3"/>
        <v>7.4624486692015213E-2</v>
      </c>
      <c r="H84" s="13"/>
      <c r="I84" s="13">
        <v>150</v>
      </c>
    </row>
    <row r="85" spans="1:9" ht="18" customHeight="1">
      <c r="A85" s="2"/>
      <c r="B85" s="11" t="s">
        <v>30</v>
      </c>
      <c r="C85" s="12" t="s">
        <v>31</v>
      </c>
      <c r="D85" s="13"/>
      <c r="E85" s="13">
        <v>55</v>
      </c>
      <c r="F85" s="13">
        <f t="shared" si="2"/>
        <v>0.05</v>
      </c>
      <c r="G85" s="13">
        <f t="shared" si="3"/>
        <v>1.9638022813688216E-2</v>
      </c>
      <c r="H85" s="13"/>
      <c r="I85" s="13">
        <v>55</v>
      </c>
    </row>
    <row r="86" spans="1:9" ht="18" customHeight="1">
      <c r="A86" s="2"/>
      <c r="B86" s="11" t="s">
        <v>32</v>
      </c>
      <c r="C86" s="12" t="s">
        <v>33</v>
      </c>
      <c r="D86" s="13"/>
      <c r="E86" s="13">
        <v>2500</v>
      </c>
      <c r="F86" s="13">
        <f t="shared" si="2"/>
        <v>2.42</v>
      </c>
      <c r="G86" s="13">
        <f t="shared" si="3"/>
        <v>0.95048030418250951</v>
      </c>
      <c r="H86" s="13"/>
      <c r="I86" s="13">
        <v>1850</v>
      </c>
    </row>
    <row r="87" spans="1:9" ht="18" customHeight="1">
      <c r="A87" s="2"/>
      <c r="B87" s="11" t="s">
        <v>34</v>
      </c>
      <c r="C87" s="12" t="s">
        <v>35</v>
      </c>
      <c r="D87" s="13"/>
      <c r="E87" s="13">
        <v>500</v>
      </c>
      <c r="F87" s="13">
        <f t="shared" si="2"/>
        <v>0.48</v>
      </c>
      <c r="G87" s="13">
        <f t="shared" si="3"/>
        <v>0.18852501901140684</v>
      </c>
      <c r="H87" s="13"/>
      <c r="I87" s="13">
        <v>500</v>
      </c>
    </row>
    <row r="88" spans="1:9" ht="18" customHeight="1">
      <c r="A88" s="2"/>
      <c r="B88" s="11" t="s">
        <v>36</v>
      </c>
      <c r="C88" s="12" t="s">
        <v>37</v>
      </c>
      <c r="D88" s="13">
        <v>2550</v>
      </c>
      <c r="E88" s="13"/>
      <c r="F88" s="13">
        <f t="shared" si="2"/>
        <v>0</v>
      </c>
      <c r="G88" s="13">
        <f t="shared" si="3"/>
        <v>0</v>
      </c>
      <c r="H88" s="13">
        <v>2481</v>
      </c>
      <c r="I88" s="13"/>
    </row>
    <row r="89" spans="1:9" ht="18" customHeight="1">
      <c r="A89" s="2"/>
      <c r="B89" s="11" t="s">
        <v>38</v>
      </c>
      <c r="C89" s="12" t="s">
        <v>39</v>
      </c>
      <c r="D89" s="15"/>
      <c r="E89" s="13">
        <v>20</v>
      </c>
      <c r="F89" s="13">
        <f t="shared" si="2"/>
        <v>0.02</v>
      </c>
      <c r="G89" s="13">
        <f t="shared" si="3"/>
        <v>7.8552091254752848E-3</v>
      </c>
      <c r="H89" s="15"/>
      <c r="I89" s="13">
        <v>20</v>
      </c>
    </row>
    <row r="90" spans="1:9" ht="18" customHeight="1">
      <c r="A90" s="2"/>
      <c r="B90" s="11" t="s">
        <v>40</v>
      </c>
      <c r="C90" s="12" t="s">
        <v>92</v>
      </c>
      <c r="D90" s="13"/>
      <c r="E90" s="13">
        <v>450</v>
      </c>
      <c r="F90" s="13">
        <f t="shared" si="2"/>
        <v>0.44</v>
      </c>
      <c r="G90" s="13">
        <f t="shared" si="3"/>
        <v>0.17281460076045629</v>
      </c>
      <c r="H90" s="13"/>
      <c r="I90" s="13">
        <v>450</v>
      </c>
    </row>
    <row r="91" spans="1:9" ht="18" customHeight="1">
      <c r="A91" s="2"/>
      <c r="B91" s="11" t="s">
        <v>42</v>
      </c>
      <c r="C91" s="12" t="s">
        <v>43</v>
      </c>
      <c r="D91" s="13"/>
      <c r="E91" s="13"/>
      <c r="F91" s="13">
        <f t="shared" si="2"/>
        <v>0</v>
      </c>
      <c r="G91" s="13">
        <f t="shared" si="3"/>
        <v>0</v>
      </c>
      <c r="H91" s="13"/>
      <c r="I91" s="13"/>
    </row>
    <row r="92" spans="1:9" ht="18" customHeight="1">
      <c r="A92" s="2"/>
      <c r="B92" s="11" t="s">
        <v>44</v>
      </c>
      <c r="C92" s="12" t="s">
        <v>45</v>
      </c>
      <c r="D92" s="13"/>
      <c r="E92" s="13">
        <v>1650</v>
      </c>
      <c r="F92" s="13">
        <f t="shared" si="2"/>
        <v>1.6</v>
      </c>
      <c r="G92" s="13">
        <f t="shared" si="3"/>
        <v>0.6284167300380229</v>
      </c>
      <c r="H92" s="13"/>
      <c r="I92" s="13">
        <v>1550</v>
      </c>
    </row>
    <row r="93" spans="1:9" ht="18" customHeight="1">
      <c r="A93" s="2"/>
      <c r="B93" s="11" t="s">
        <v>46</v>
      </c>
      <c r="C93" s="12" t="s">
        <v>47</v>
      </c>
      <c r="D93" s="15">
        <v>920</v>
      </c>
      <c r="E93" s="13"/>
      <c r="F93" s="13">
        <f t="shared" si="2"/>
        <v>0</v>
      </c>
      <c r="G93" s="13">
        <f t="shared" si="3"/>
        <v>0</v>
      </c>
      <c r="H93" s="15">
        <v>900</v>
      </c>
      <c r="I93" s="13"/>
    </row>
    <row r="94" spans="1:9" ht="18" customHeight="1">
      <c r="A94" s="2"/>
      <c r="B94" s="11" t="s">
        <v>48</v>
      </c>
      <c r="C94" s="12" t="s">
        <v>49</v>
      </c>
      <c r="D94" s="15"/>
      <c r="E94" s="13">
        <v>1450</v>
      </c>
      <c r="F94" s="13">
        <f t="shared" si="2"/>
        <v>1.4</v>
      </c>
      <c r="G94" s="13">
        <f t="shared" si="3"/>
        <v>0.54986463878326997</v>
      </c>
      <c r="H94" s="15"/>
      <c r="I94" s="13">
        <v>1400</v>
      </c>
    </row>
    <row r="95" spans="1:9" ht="18" customHeight="1">
      <c r="A95" s="2"/>
      <c r="B95" s="11" t="s">
        <v>50</v>
      </c>
      <c r="C95" s="12" t="s">
        <v>51</v>
      </c>
      <c r="D95" s="13">
        <v>4990</v>
      </c>
      <c r="E95" s="13"/>
      <c r="F95" s="13">
        <f t="shared" si="2"/>
        <v>0</v>
      </c>
      <c r="G95" s="13">
        <f t="shared" si="3"/>
        <v>0</v>
      </c>
      <c r="H95" s="13">
        <v>4950</v>
      </c>
      <c r="I95" s="13"/>
    </row>
    <row r="96" spans="1:9" ht="18" customHeight="1">
      <c r="A96" s="2"/>
      <c r="B96" s="14" t="s">
        <v>52</v>
      </c>
      <c r="C96" s="12" t="s">
        <v>53</v>
      </c>
      <c r="D96" s="13"/>
      <c r="E96" s="19">
        <f>SUM(E69,E74,E75,E76,E80)</f>
        <v>90356</v>
      </c>
      <c r="F96" s="19">
        <f t="shared" si="2"/>
        <v>87.47</v>
      </c>
      <c r="G96" s="19">
        <f t="shared" si="3"/>
        <v>34.354757110266156</v>
      </c>
      <c r="H96" s="13"/>
      <c r="I96" s="19">
        <f>SUM(I69,I74,I75,I76,I80)</f>
        <v>91556</v>
      </c>
    </row>
    <row r="97" spans="1:9" ht="18" customHeight="1">
      <c r="A97" s="2"/>
      <c r="B97" s="14" t="s">
        <v>54</v>
      </c>
      <c r="C97" s="12" t="s">
        <v>55</v>
      </c>
      <c r="D97" s="13"/>
      <c r="E97" s="16">
        <v>6580</v>
      </c>
      <c r="F97" s="16">
        <f t="shared" si="2"/>
        <v>6.37</v>
      </c>
      <c r="G97" s="16">
        <f t="shared" si="3"/>
        <v>2.5018841064638782</v>
      </c>
      <c r="H97" s="13"/>
      <c r="I97" s="16">
        <v>6540</v>
      </c>
    </row>
    <row r="98" spans="1:9" ht="18" customHeight="1">
      <c r="A98" s="2"/>
      <c r="B98" s="14" t="s">
        <v>56</v>
      </c>
      <c r="C98" s="12" t="s">
        <v>57</v>
      </c>
      <c r="D98" s="13"/>
      <c r="E98" s="16">
        <v>6450</v>
      </c>
      <c r="F98" s="16">
        <f t="shared" si="2"/>
        <v>6.24</v>
      </c>
      <c r="G98" s="16">
        <f t="shared" si="3"/>
        <v>2.450825247148289</v>
      </c>
      <c r="H98" s="13"/>
      <c r="I98" s="16">
        <v>6400</v>
      </c>
    </row>
    <row r="99" spans="1:9" ht="18" customHeight="1">
      <c r="A99" s="2"/>
      <c r="B99" s="14" t="s">
        <v>58</v>
      </c>
      <c r="C99" s="12" t="s">
        <v>59</v>
      </c>
      <c r="D99" s="13"/>
      <c r="E99" s="16">
        <v>160</v>
      </c>
      <c r="F99" s="16">
        <f t="shared" si="2"/>
        <v>0.15</v>
      </c>
      <c r="G99" s="16">
        <f t="shared" si="3"/>
        <v>5.8914068441064636E-2</v>
      </c>
      <c r="H99" s="13"/>
      <c r="I99" s="16">
        <v>130</v>
      </c>
    </row>
    <row r="100" spans="1:9" ht="18" customHeight="1">
      <c r="A100" s="2"/>
      <c r="B100" s="14" t="s">
        <v>60</v>
      </c>
      <c r="C100" s="12" t="s">
        <v>61</v>
      </c>
      <c r="D100" s="13"/>
      <c r="E100" s="19">
        <f>SUM(E96,E97,E98,E99)</f>
        <v>103546</v>
      </c>
      <c r="F100" s="19">
        <f t="shared" si="2"/>
        <v>100.24</v>
      </c>
      <c r="G100" s="19">
        <f t="shared" si="3"/>
        <v>39.37030813688213</v>
      </c>
      <c r="H100" s="13"/>
      <c r="I100" s="19">
        <f>SUM(I96,I97,I98,I99)</f>
        <v>104626</v>
      </c>
    </row>
    <row r="101" spans="1:9" ht="18" customHeight="1">
      <c r="A101" s="2"/>
      <c r="B101" s="14" t="s">
        <v>62</v>
      </c>
      <c r="C101" s="12" t="s">
        <v>93</v>
      </c>
      <c r="D101" s="13"/>
      <c r="E101" s="16">
        <f>-250</f>
        <v>-250</v>
      </c>
      <c r="F101" s="16">
        <f t="shared" si="2"/>
        <v>-0.24</v>
      </c>
      <c r="G101" s="16">
        <f t="shared" si="3"/>
        <v>-9.4262509505703418E-2</v>
      </c>
      <c r="H101" s="13"/>
      <c r="I101" s="16">
        <f>-250</f>
        <v>-250</v>
      </c>
    </row>
    <row r="102" spans="1:9" ht="18" customHeight="1">
      <c r="A102" s="2"/>
      <c r="B102" s="14" t="s">
        <v>64</v>
      </c>
      <c r="C102" s="12" t="s">
        <v>65</v>
      </c>
      <c r="D102" s="13"/>
      <c r="E102" s="19">
        <f>SUM(E100,E101)</f>
        <v>103296</v>
      </c>
      <c r="F102" s="19">
        <f t="shared" si="2"/>
        <v>100</v>
      </c>
      <c r="G102" s="19">
        <f t="shared" si="3"/>
        <v>39.276045627376426</v>
      </c>
      <c r="H102" s="13"/>
      <c r="I102" s="19">
        <f>SUM(I100,I101)</f>
        <v>104376</v>
      </c>
    </row>
    <row r="103" spans="1:9" ht="18" customHeight="1">
      <c r="A103" s="2"/>
      <c r="B103" s="14" t="s">
        <v>66</v>
      </c>
      <c r="C103" s="12" t="s">
        <v>94</v>
      </c>
      <c r="D103" s="13"/>
      <c r="E103" s="20">
        <f>SUM(E104,E105)</f>
        <v>2630</v>
      </c>
      <c r="F103" s="20"/>
      <c r="G103" s="20"/>
      <c r="H103" s="13"/>
      <c r="I103" s="20">
        <f>SUM(I104,I105)</f>
        <v>2651</v>
      </c>
    </row>
    <row r="104" spans="1:9" ht="18" customHeight="1">
      <c r="A104" s="2"/>
      <c r="B104" s="14"/>
      <c r="C104" s="12" t="s">
        <v>68</v>
      </c>
      <c r="D104" s="13"/>
      <c r="E104" s="13">
        <v>1600</v>
      </c>
      <c r="F104" s="13"/>
      <c r="G104" s="13"/>
      <c r="H104" s="13"/>
      <c r="I104" s="13">
        <f>1530+64</f>
        <v>1594</v>
      </c>
    </row>
    <row r="105" spans="1:9" ht="18" customHeight="1">
      <c r="A105" s="2"/>
      <c r="B105" s="14"/>
      <c r="C105" s="12" t="s">
        <v>69</v>
      </c>
      <c r="D105" s="13"/>
      <c r="E105" s="13">
        <v>1030</v>
      </c>
      <c r="F105" s="13"/>
      <c r="G105" s="13"/>
      <c r="H105" s="13"/>
      <c r="I105" s="13">
        <f>1035+22</f>
        <v>1057</v>
      </c>
    </row>
    <row r="106" spans="1:9" ht="18" customHeight="1">
      <c r="A106" s="2"/>
      <c r="B106" s="22" t="s">
        <v>70</v>
      </c>
      <c r="C106" s="23" t="s">
        <v>71</v>
      </c>
      <c r="D106" s="24"/>
      <c r="E106" s="24">
        <f>E102/E103</f>
        <v>39.276045627376426</v>
      </c>
      <c r="F106" s="24"/>
      <c r="G106" s="24"/>
      <c r="H106" s="24"/>
      <c r="I106" s="24">
        <f>I102/I103</f>
        <v>39.372312334967937</v>
      </c>
    </row>
    <row r="107" spans="1:9" ht="18" customHeight="1">
      <c r="A107" s="2"/>
      <c r="B107" s="14" t="s">
        <v>72</v>
      </c>
      <c r="C107" s="12" t="s">
        <v>73</v>
      </c>
      <c r="D107" s="13"/>
      <c r="E107" s="26">
        <v>40.6</v>
      </c>
      <c r="F107" s="26"/>
      <c r="G107" s="26"/>
      <c r="H107" s="13"/>
      <c r="I107" s="26">
        <v>40.6</v>
      </c>
    </row>
    <row r="108" spans="1:9" ht="18" customHeight="1">
      <c r="A108" s="2"/>
      <c r="B108" s="14"/>
      <c r="C108" s="12" t="s">
        <v>74</v>
      </c>
      <c r="D108" s="13"/>
      <c r="E108" s="26">
        <v>40.6</v>
      </c>
      <c r="F108" s="26"/>
      <c r="G108" s="26"/>
      <c r="H108" s="13"/>
      <c r="I108" s="26">
        <v>40.6</v>
      </c>
    </row>
    <row r="109" spans="1:9" ht="18" customHeight="1">
      <c r="A109" s="2"/>
      <c r="B109" s="14" t="s">
        <v>75</v>
      </c>
      <c r="C109" s="12" t="s">
        <v>76</v>
      </c>
      <c r="D109" s="13"/>
      <c r="E109" s="26">
        <f>E107-E106</f>
        <v>1.3239543726235752</v>
      </c>
      <c r="F109" s="26"/>
      <c r="G109" s="26"/>
      <c r="H109" s="13"/>
      <c r="I109" s="26">
        <f>I107-I106</f>
        <v>1.2276876650320645</v>
      </c>
    </row>
    <row r="110" spans="1:9" ht="18" customHeight="1">
      <c r="A110" s="2"/>
      <c r="B110" s="14"/>
      <c r="C110" s="12" t="s">
        <v>77</v>
      </c>
      <c r="D110" s="13"/>
      <c r="E110" s="26">
        <f>E108-E106</f>
        <v>1.3239543726235752</v>
      </c>
      <c r="F110" s="26"/>
      <c r="G110" s="26"/>
      <c r="H110" s="13"/>
      <c r="I110" s="26">
        <f>I108-I106</f>
        <v>1.2276876650320645</v>
      </c>
    </row>
    <row r="111" spans="1:9" ht="18" customHeight="1" thickBot="1">
      <c r="A111" s="2"/>
      <c r="B111" s="27" t="s">
        <v>78</v>
      </c>
      <c r="C111" s="28" t="s">
        <v>79</v>
      </c>
      <c r="D111" s="29"/>
      <c r="E111" s="30">
        <f>E112/E102</f>
        <v>3.3708952912019828E-2</v>
      </c>
      <c r="F111" s="30"/>
      <c r="G111" s="30"/>
      <c r="H111" s="29"/>
      <c r="I111" s="30">
        <f>I112/I102</f>
        <v>3.1181497662297903E-2</v>
      </c>
    </row>
    <row r="112" spans="1:9" ht="18" customHeight="1" thickBot="1">
      <c r="A112" s="2"/>
      <c r="B112" s="31" t="s">
        <v>80</v>
      </c>
      <c r="C112" s="32" t="s">
        <v>81</v>
      </c>
      <c r="D112" s="33"/>
      <c r="E112" s="34">
        <f>((E107*E104+E108*E105)-E102)</f>
        <v>3482</v>
      </c>
      <c r="F112" s="34"/>
      <c r="G112" s="34"/>
      <c r="H112" s="33"/>
      <c r="I112" s="34">
        <f>((I107*I104+I108*I105)-I102)</f>
        <v>3254.6000000000058</v>
      </c>
    </row>
    <row r="113" spans="1:9" ht="18" customHeight="1">
      <c r="A113" s="2"/>
      <c r="B113" s="2"/>
      <c r="C113" s="5"/>
      <c r="D113" s="4"/>
      <c r="E113" s="4">
        <v>3482</v>
      </c>
      <c r="F113" s="4"/>
      <c r="G113" s="4"/>
      <c r="H113" s="4"/>
      <c r="I113" s="4"/>
    </row>
    <row r="114" spans="1:9" s="40" customFormat="1" ht="18" customHeight="1">
      <c r="A114" s="2"/>
      <c r="B114" s="2"/>
      <c r="C114" s="5"/>
      <c r="D114" s="4"/>
      <c r="E114" s="4"/>
      <c r="F114" s="4"/>
      <c r="G114" s="4"/>
      <c r="H114" s="4"/>
      <c r="I114" s="4"/>
    </row>
    <row r="115" spans="1:9" s="40" customFormat="1" ht="18" customHeight="1">
      <c r="A115" s="2"/>
      <c r="B115" s="2"/>
      <c r="C115" s="5"/>
      <c r="D115" s="4"/>
      <c r="E115" s="4"/>
      <c r="F115" s="4"/>
      <c r="G115" s="4"/>
      <c r="H115" s="4"/>
      <c r="I115" s="4"/>
    </row>
    <row r="116" spans="1:9" s="40" customFormat="1" ht="18" customHeight="1">
      <c r="A116" s="2"/>
      <c r="B116" s="2" t="s">
        <v>82</v>
      </c>
      <c r="C116" s="5"/>
      <c r="D116" s="4" t="s">
        <v>83</v>
      </c>
      <c r="E116" s="4"/>
      <c r="F116" s="4"/>
      <c r="G116" s="4"/>
      <c r="H116" s="4"/>
      <c r="I116" s="4"/>
    </row>
    <row r="117" spans="1:9" s="40" customFormat="1" ht="18" customHeight="1">
      <c r="A117" s="2"/>
      <c r="B117" s="2" t="s">
        <v>84</v>
      </c>
      <c r="C117" s="35" t="s">
        <v>85</v>
      </c>
      <c r="D117" s="4"/>
      <c r="E117" s="4"/>
      <c r="F117" s="4"/>
      <c r="G117" s="4"/>
      <c r="H117" s="4"/>
      <c r="I117" s="4"/>
    </row>
    <row r="118" spans="1:9" s="40" customFormat="1" ht="18" customHeight="1">
      <c r="A118" s="2"/>
      <c r="B118" s="2"/>
      <c r="C118" s="5"/>
      <c r="D118" s="4"/>
      <c r="E118" s="4"/>
      <c r="F118" s="4"/>
      <c r="G118" s="4"/>
      <c r="H118" s="4"/>
      <c r="I118" s="4"/>
    </row>
  </sheetData>
  <mergeCells count="6">
    <mergeCell ref="B68:C68"/>
    <mergeCell ref="B1:E1"/>
    <mergeCell ref="B2:E2"/>
    <mergeCell ref="B6:E6"/>
    <mergeCell ref="B63:E63"/>
    <mergeCell ref="B64:E64"/>
  </mergeCells>
  <printOptions horizontalCentered="1"/>
  <pageMargins left="0" right="0" top="0.19685039370078741" bottom="0.39370078740157483" header="0.51181102362204722" footer="0.51181102362204722"/>
  <pageSetup paperSize="9" scale="78" fitToWidth="2" fitToHeight="2" orientation="portrait" r:id="rId1"/>
  <headerFooter alignWithMargins="0"/>
  <rowBreaks count="2" manualBreakCount="2">
    <brk id="54" max="65535" man="1"/>
    <brk id="55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showGridLines="0" zoomScale="76" zoomScaleNormal="76" workbookViewId="0">
      <selection activeCell="B6" sqref="B6:E6"/>
    </sheetView>
  </sheetViews>
  <sheetFormatPr defaultRowHeight="13.2"/>
  <cols>
    <col min="1" max="1" width="3.44140625" customWidth="1"/>
    <col min="2" max="2" width="6.5546875" customWidth="1"/>
    <col min="3" max="3" width="52.6640625" style="41" bestFit="1" customWidth="1"/>
    <col min="4" max="5" width="13.5546875" style="40" customWidth="1"/>
    <col min="6" max="7" width="13.44140625" style="40" customWidth="1"/>
    <col min="8" max="9" width="13.5546875" style="40" customWidth="1"/>
  </cols>
  <sheetData>
    <row r="1" spans="1:9" ht="21">
      <c r="A1" s="1"/>
      <c r="B1" s="57" t="s">
        <v>0</v>
      </c>
      <c r="C1" s="57"/>
      <c r="D1" s="57"/>
      <c r="E1" s="57"/>
      <c r="F1" s="42"/>
      <c r="G1" s="42"/>
      <c r="H1"/>
      <c r="I1"/>
    </row>
    <row r="2" spans="1:9" ht="16.5" customHeight="1">
      <c r="A2" s="1"/>
      <c r="B2" s="58" t="s">
        <v>1</v>
      </c>
      <c r="C2" s="58"/>
      <c r="D2" s="58"/>
      <c r="E2" s="58"/>
      <c r="F2" s="43"/>
      <c r="G2" s="43"/>
      <c r="H2"/>
      <c r="I2"/>
    </row>
    <row r="3" spans="1:9" ht="18" customHeight="1">
      <c r="A3" s="2"/>
      <c r="B3" s="2"/>
      <c r="C3" s="3"/>
      <c r="D3" s="4"/>
      <c r="E3" s="4"/>
      <c r="F3" s="4"/>
      <c r="G3" s="4"/>
      <c r="H3" s="4"/>
      <c r="I3" s="4"/>
    </row>
    <row r="4" spans="1:9" ht="18" customHeight="1">
      <c r="A4" s="2"/>
      <c r="B4" s="2"/>
      <c r="C4" s="5"/>
      <c r="D4" s="4"/>
      <c r="E4" s="4"/>
      <c r="F4" s="4"/>
      <c r="G4" s="4"/>
      <c r="H4" s="4"/>
      <c r="I4" s="4"/>
    </row>
    <row r="5" spans="1:9" ht="18" customHeight="1">
      <c r="A5" s="2"/>
      <c r="B5" s="2"/>
      <c r="C5" s="6" t="s">
        <v>2</v>
      </c>
      <c r="D5" s="4"/>
      <c r="E5" s="4"/>
      <c r="F5" s="4"/>
      <c r="G5" s="4"/>
      <c r="H5" s="4"/>
      <c r="I5" s="4"/>
    </row>
    <row r="6" spans="1:9" ht="54" customHeight="1" thickBot="1">
      <c r="A6" s="2"/>
      <c r="B6" s="59" t="s">
        <v>95</v>
      </c>
      <c r="C6" s="59"/>
      <c r="D6" s="59"/>
      <c r="E6" s="59"/>
      <c r="F6" s="44" t="s">
        <v>97</v>
      </c>
      <c r="G6" s="44" t="s">
        <v>98</v>
      </c>
      <c r="H6" t="s">
        <v>4</v>
      </c>
      <c r="I6" t="s">
        <v>4</v>
      </c>
    </row>
    <row r="7" spans="1:9" ht="18" customHeight="1">
      <c r="A7" s="2"/>
      <c r="B7" s="7" t="s">
        <v>5</v>
      </c>
      <c r="C7" s="8" t="s">
        <v>6</v>
      </c>
      <c r="D7" s="9"/>
      <c r="E7" s="10">
        <f>SUM(E8:E11)</f>
        <v>9315</v>
      </c>
      <c r="F7" s="10">
        <f>ROUND((E7/$E$40)*100,2)</f>
        <v>8.0399999999999991</v>
      </c>
      <c r="G7" s="10">
        <f>($E$44*F7)/100</f>
        <v>3.1953690566037731</v>
      </c>
      <c r="H7" s="9"/>
      <c r="I7" s="10">
        <f>SUM(I8:I11)</f>
        <v>9260</v>
      </c>
    </row>
    <row r="8" spans="1:9" ht="18" customHeight="1">
      <c r="A8" s="2"/>
      <c r="B8" s="11" t="s">
        <v>7</v>
      </c>
      <c r="C8" s="12" t="s">
        <v>8</v>
      </c>
      <c r="D8" s="13"/>
      <c r="E8" s="13">
        <v>115</v>
      </c>
      <c r="F8" s="13">
        <f t="shared" ref="F8:F40" si="0">ROUND((E8/$E$40)*100,2)</f>
        <v>0.1</v>
      </c>
      <c r="G8" s="13">
        <f t="shared" ref="G8:G39" si="1">($E$44*F8)/100</f>
        <v>3.9743396226415095E-2</v>
      </c>
      <c r="H8" s="13"/>
      <c r="I8" s="13">
        <v>110</v>
      </c>
    </row>
    <row r="9" spans="1:9" ht="18" customHeight="1">
      <c r="A9" s="2"/>
      <c r="B9" s="11" t="s">
        <v>9</v>
      </c>
      <c r="C9" s="12" t="s">
        <v>10</v>
      </c>
      <c r="D9" s="13"/>
      <c r="E9" s="13"/>
      <c r="F9" s="13">
        <f t="shared" si="0"/>
        <v>0</v>
      </c>
      <c r="G9" s="13">
        <f t="shared" si="1"/>
        <v>0</v>
      </c>
      <c r="H9" s="13"/>
      <c r="I9" s="13"/>
    </row>
    <row r="10" spans="1:9" ht="18" customHeight="1">
      <c r="A10" s="2"/>
      <c r="B10" s="11" t="s">
        <v>11</v>
      </c>
      <c r="C10" s="12" t="s">
        <v>12</v>
      </c>
      <c r="D10" s="13"/>
      <c r="E10" s="13">
        <v>8700</v>
      </c>
      <c r="F10" s="13">
        <f t="shared" si="0"/>
        <v>7.51</v>
      </c>
      <c r="G10" s="13">
        <f t="shared" si="1"/>
        <v>2.9847290566037739</v>
      </c>
      <c r="H10" s="13"/>
      <c r="I10" s="13">
        <v>8700</v>
      </c>
    </row>
    <row r="11" spans="1:9" ht="18" customHeight="1">
      <c r="A11" s="2"/>
      <c r="B11" s="11" t="s">
        <v>13</v>
      </c>
      <c r="C11" s="12" t="s">
        <v>14</v>
      </c>
      <c r="D11" s="13"/>
      <c r="E11" s="13">
        <v>500</v>
      </c>
      <c r="F11" s="13">
        <f t="shared" si="0"/>
        <v>0.43</v>
      </c>
      <c r="G11" s="13">
        <f t="shared" si="1"/>
        <v>0.17089660377358493</v>
      </c>
      <c r="H11" s="13"/>
      <c r="I11" s="13">
        <v>450</v>
      </c>
    </row>
    <row r="12" spans="1:9" ht="18" customHeight="1">
      <c r="A12" s="2"/>
      <c r="B12" s="14" t="s">
        <v>15</v>
      </c>
      <c r="C12" s="12" t="s">
        <v>16</v>
      </c>
      <c r="D12" s="15">
        <v>12200</v>
      </c>
      <c r="E12" s="16">
        <v>1300</v>
      </c>
      <c r="F12" s="16">
        <f t="shared" si="0"/>
        <v>1.1200000000000001</v>
      </c>
      <c r="G12" s="16">
        <f t="shared" si="1"/>
        <v>0.44512603773584908</v>
      </c>
      <c r="H12" s="15">
        <v>12000</v>
      </c>
      <c r="I12" s="16">
        <v>1200</v>
      </c>
    </row>
    <row r="13" spans="1:9" ht="18" customHeight="1">
      <c r="A13" s="2"/>
      <c r="B13" s="14" t="s">
        <v>17</v>
      </c>
      <c r="C13" s="12" t="s">
        <v>18</v>
      </c>
      <c r="D13" s="13"/>
      <c r="E13" s="16">
        <v>21450</v>
      </c>
      <c r="F13" s="16">
        <f t="shared" si="0"/>
        <v>18.52</v>
      </c>
      <c r="G13" s="16">
        <f t="shared" si="1"/>
        <v>7.3604769811320754</v>
      </c>
      <c r="H13" s="13"/>
      <c r="I13" s="16">
        <f>17627.5+3000+800</f>
        <v>21427.5</v>
      </c>
    </row>
    <row r="14" spans="1:9" ht="18" customHeight="1">
      <c r="A14" s="2"/>
      <c r="B14" s="14" t="s">
        <v>19</v>
      </c>
      <c r="C14" s="12" t="s">
        <v>20</v>
      </c>
      <c r="D14" s="13"/>
      <c r="E14" s="17">
        <f>SUM(E15:E17)</f>
        <v>41300</v>
      </c>
      <c r="F14" s="17">
        <f t="shared" si="0"/>
        <v>35.65</v>
      </c>
      <c r="G14" s="17">
        <f t="shared" si="1"/>
        <v>14.168520754716981</v>
      </c>
      <c r="H14" s="13"/>
      <c r="I14" s="17">
        <f>SUM(I15:I17)</f>
        <v>40612</v>
      </c>
    </row>
    <row r="15" spans="1:9" ht="18" customHeight="1">
      <c r="A15" s="2"/>
      <c r="B15" s="11" t="s">
        <v>7</v>
      </c>
      <c r="C15" s="12" t="s">
        <v>21</v>
      </c>
      <c r="D15" s="13"/>
      <c r="E15" s="13">
        <v>8500</v>
      </c>
      <c r="F15" s="13">
        <f t="shared" si="0"/>
        <v>7.34</v>
      </c>
      <c r="G15" s="13">
        <f t="shared" si="1"/>
        <v>2.9171652830188681</v>
      </c>
      <c r="H15" s="13"/>
      <c r="I15" s="13">
        <v>8300</v>
      </c>
    </row>
    <row r="16" spans="1:9" ht="18" customHeight="1">
      <c r="A16" s="2"/>
      <c r="B16" s="11" t="s">
        <v>9</v>
      </c>
      <c r="C16" s="12" t="s">
        <v>22</v>
      </c>
      <c r="D16" s="13"/>
      <c r="E16" s="18">
        <f>D12+D26+D31+D33+D24</f>
        <v>22500</v>
      </c>
      <c r="F16" s="18">
        <f t="shared" si="0"/>
        <v>19.420000000000002</v>
      </c>
      <c r="G16" s="18">
        <f t="shared" si="1"/>
        <v>7.7181675471698119</v>
      </c>
      <c r="H16" s="13"/>
      <c r="I16" s="18">
        <f>H12+H26+H31+H33+H24</f>
        <v>22012</v>
      </c>
    </row>
    <row r="17" spans="1:9" ht="18" customHeight="1">
      <c r="A17" s="2"/>
      <c r="B17" s="11" t="s">
        <v>11</v>
      </c>
      <c r="C17" s="12" t="s">
        <v>23</v>
      </c>
      <c r="D17" s="13"/>
      <c r="E17" s="13">
        <f>11100-800</f>
        <v>10300</v>
      </c>
      <c r="F17" s="13">
        <f t="shared" si="0"/>
        <v>8.89</v>
      </c>
      <c r="G17" s="13">
        <f t="shared" si="1"/>
        <v>3.5331879245283022</v>
      </c>
      <c r="H17" s="13"/>
      <c r="I17" s="13">
        <f>11100-800</f>
        <v>10300</v>
      </c>
    </row>
    <row r="18" spans="1:9" ht="18" customHeight="1">
      <c r="A18" s="2"/>
      <c r="B18" s="14" t="s">
        <v>24</v>
      </c>
      <c r="C18" s="12" t="s">
        <v>25</v>
      </c>
      <c r="D18" s="13"/>
      <c r="E18" s="17">
        <f>SUM(E19:E33)</f>
        <v>18797</v>
      </c>
      <c r="F18" s="17">
        <f t="shared" si="0"/>
        <v>16.23</v>
      </c>
      <c r="G18" s="17">
        <f t="shared" si="1"/>
        <v>6.4503532075471695</v>
      </c>
      <c r="H18" s="13"/>
      <c r="I18" s="17">
        <f>SUM(I19:I33)</f>
        <v>19230</v>
      </c>
    </row>
    <row r="19" spans="1:9" ht="18" customHeight="1">
      <c r="A19" s="2"/>
      <c r="B19" s="11" t="s">
        <v>7</v>
      </c>
      <c r="C19" s="12" t="s">
        <v>26</v>
      </c>
      <c r="D19" s="13"/>
      <c r="E19" s="13">
        <v>20</v>
      </c>
      <c r="F19" s="13">
        <f t="shared" si="0"/>
        <v>0.02</v>
      </c>
      <c r="G19" s="13">
        <f t="shared" si="1"/>
        <v>7.9486792452830198E-3</v>
      </c>
      <c r="H19" s="13"/>
      <c r="I19" s="13">
        <v>20</v>
      </c>
    </row>
    <row r="20" spans="1:9" ht="18" customHeight="1">
      <c r="A20" s="2"/>
      <c r="B20" s="11" t="s">
        <v>9</v>
      </c>
      <c r="C20" s="12" t="s">
        <v>27</v>
      </c>
      <c r="D20" s="13"/>
      <c r="E20" s="13">
        <v>50</v>
      </c>
      <c r="F20" s="13">
        <f t="shared" si="0"/>
        <v>0.04</v>
      </c>
      <c r="G20" s="13">
        <f t="shared" si="1"/>
        <v>1.589735849056604E-2</v>
      </c>
      <c r="H20" s="13"/>
      <c r="I20" s="13">
        <v>50</v>
      </c>
    </row>
    <row r="21" spans="1:9" ht="18" customHeight="1">
      <c r="A21" s="2"/>
      <c r="B21" s="11" t="s">
        <v>11</v>
      </c>
      <c r="C21" s="12" t="s">
        <v>28</v>
      </c>
      <c r="D21" s="13"/>
      <c r="E21" s="13">
        <f>7650+61</f>
        <v>7711</v>
      </c>
      <c r="F21" s="13">
        <f t="shared" si="0"/>
        <v>6.66</v>
      </c>
      <c r="G21" s="13">
        <f t="shared" si="1"/>
        <v>2.6469101886792452</v>
      </c>
      <c r="H21" s="13"/>
      <c r="I21" s="13">
        <v>8500</v>
      </c>
    </row>
    <row r="22" spans="1:9" ht="18" customHeight="1">
      <c r="A22" s="2"/>
      <c r="B22" s="11" t="s">
        <v>13</v>
      </c>
      <c r="C22" s="12" t="s">
        <v>29</v>
      </c>
      <c r="D22" s="13"/>
      <c r="E22" s="13">
        <v>150</v>
      </c>
      <c r="F22" s="13">
        <f t="shared" si="0"/>
        <v>0.13</v>
      </c>
      <c r="G22" s="13">
        <f t="shared" si="1"/>
        <v>5.166641509433962E-2</v>
      </c>
      <c r="H22" s="13"/>
      <c r="I22" s="13">
        <v>150</v>
      </c>
    </row>
    <row r="23" spans="1:9" ht="18" customHeight="1">
      <c r="A23" s="2"/>
      <c r="B23" s="11" t="s">
        <v>30</v>
      </c>
      <c r="C23" s="12" t="s">
        <v>31</v>
      </c>
      <c r="D23" s="13"/>
      <c r="E23" s="13">
        <v>140</v>
      </c>
      <c r="F23" s="13">
        <f t="shared" si="0"/>
        <v>0.12</v>
      </c>
      <c r="G23" s="13">
        <f t="shared" si="1"/>
        <v>4.7692075471698112E-2</v>
      </c>
      <c r="H23" s="13"/>
      <c r="I23" s="13">
        <v>140</v>
      </c>
    </row>
    <row r="24" spans="1:9" ht="18" customHeight="1">
      <c r="A24" s="2"/>
      <c r="B24" s="11" t="s">
        <v>32</v>
      </c>
      <c r="C24" s="12" t="s">
        <v>33</v>
      </c>
      <c r="D24" s="13"/>
      <c r="E24" s="13">
        <v>0</v>
      </c>
      <c r="F24" s="13">
        <f t="shared" si="0"/>
        <v>0</v>
      </c>
      <c r="G24" s="13">
        <f t="shared" si="1"/>
        <v>0</v>
      </c>
      <c r="H24" s="13"/>
      <c r="I24" s="13">
        <v>0</v>
      </c>
    </row>
    <row r="25" spans="1:9" ht="18" customHeight="1">
      <c r="A25" s="2"/>
      <c r="B25" s="11" t="s">
        <v>34</v>
      </c>
      <c r="C25" s="12" t="s">
        <v>35</v>
      </c>
      <c r="D25" s="13"/>
      <c r="E25" s="13">
        <v>500</v>
      </c>
      <c r="F25" s="13">
        <f t="shared" si="0"/>
        <v>0.43</v>
      </c>
      <c r="G25" s="13">
        <f t="shared" si="1"/>
        <v>0.17089660377358493</v>
      </c>
      <c r="H25" s="13"/>
      <c r="I25" s="13">
        <v>500</v>
      </c>
    </row>
    <row r="26" spans="1:9" ht="18" customHeight="1">
      <c r="A26" s="2"/>
      <c r="B26" s="11" t="s">
        <v>36</v>
      </c>
      <c r="C26" s="12" t="s">
        <v>37</v>
      </c>
      <c r="D26" s="13">
        <v>4150</v>
      </c>
      <c r="E26" s="13">
        <v>180</v>
      </c>
      <c r="F26" s="13">
        <f t="shared" si="0"/>
        <v>0.16</v>
      </c>
      <c r="G26" s="13">
        <f t="shared" si="1"/>
        <v>6.3589433962264158E-2</v>
      </c>
      <c r="H26" s="13">
        <v>4082</v>
      </c>
      <c r="I26" s="13">
        <v>104</v>
      </c>
    </row>
    <row r="27" spans="1:9" ht="18" customHeight="1">
      <c r="A27" s="2"/>
      <c r="B27" s="11" t="s">
        <v>38</v>
      </c>
      <c r="C27" s="12" t="s">
        <v>39</v>
      </c>
      <c r="D27" s="13"/>
      <c r="E27" s="13">
        <v>80</v>
      </c>
      <c r="F27" s="13">
        <f t="shared" si="0"/>
        <v>7.0000000000000007E-2</v>
      </c>
      <c r="G27" s="13">
        <f t="shared" si="1"/>
        <v>2.7820377358490567E-2</v>
      </c>
      <c r="H27" s="13"/>
      <c r="I27" s="13">
        <v>80</v>
      </c>
    </row>
    <row r="28" spans="1:9" ht="18" customHeight="1">
      <c r="A28" s="2"/>
      <c r="B28" s="11" t="s">
        <v>40</v>
      </c>
      <c r="C28" s="12" t="s">
        <v>41</v>
      </c>
      <c r="D28" s="13"/>
      <c r="E28" s="13">
        <v>2100</v>
      </c>
      <c r="F28" s="13">
        <f t="shared" si="0"/>
        <v>1.81</v>
      </c>
      <c r="G28" s="13">
        <f t="shared" si="1"/>
        <v>0.7193554716981132</v>
      </c>
      <c r="H28" s="13"/>
      <c r="I28" s="13">
        <v>2020</v>
      </c>
    </row>
    <row r="29" spans="1:9" ht="18" customHeight="1">
      <c r="A29" s="2"/>
      <c r="B29" s="11" t="s">
        <v>42</v>
      </c>
      <c r="C29" s="12" t="s">
        <v>43</v>
      </c>
      <c r="D29" s="13"/>
      <c r="E29" s="13">
        <v>116</v>
      </c>
      <c r="F29" s="13">
        <f t="shared" si="0"/>
        <v>0.1</v>
      </c>
      <c r="G29" s="13">
        <f t="shared" si="1"/>
        <v>3.9743396226415095E-2</v>
      </c>
      <c r="H29" s="13"/>
      <c r="I29" s="13">
        <v>116</v>
      </c>
    </row>
    <row r="30" spans="1:9" ht="18" customHeight="1">
      <c r="A30" s="2"/>
      <c r="B30" s="11" t="s">
        <v>44</v>
      </c>
      <c r="C30" s="12" t="s">
        <v>45</v>
      </c>
      <c r="D30" s="13"/>
      <c r="E30" s="13">
        <v>4400</v>
      </c>
      <c r="F30" s="13">
        <f t="shared" si="0"/>
        <v>3.8</v>
      </c>
      <c r="G30" s="13">
        <f t="shared" si="1"/>
        <v>1.5102490566037736</v>
      </c>
      <c r="H30" s="13"/>
      <c r="I30" s="13">
        <v>4300</v>
      </c>
    </row>
    <row r="31" spans="1:9" ht="18" customHeight="1">
      <c r="A31" s="2"/>
      <c r="B31" s="11" t="s">
        <v>46</v>
      </c>
      <c r="C31" s="12" t="s">
        <v>47</v>
      </c>
      <c r="D31" s="15">
        <v>2700</v>
      </c>
      <c r="E31" s="13"/>
      <c r="F31" s="13">
        <f t="shared" si="0"/>
        <v>0</v>
      </c>
      <c r="G31" s="13">
        <f t="shared" si="1"/>
        <v>0</v>
      </c>
      <c r="H31" s="15">
        <v>2600</v>
      </c>
      <c r="I31" s="13"/>
    </row>
    <row r="32" spans="1:9" ht="18" customHeight="1">
      <c r="A32" s="2"/>
      <c r="B32" s="11" t="s">
        <v>48</v>
      </c>
      <c r="C32" s="12" t="s">
        <v>49</v>
      </c>
      <c r="D32" s="13"/>
      <c r="E32" s="13">
        <v>3350</v>
      </c>
      <c r="F32" s="13">
        <f t="shared" si="0"/>
        <v>2.89</v>
      </c>
      <c r="G32" s="13">
        <f t="shared" si="1"/>
        <v>1.1485841509433963</v>
      </c>
      <c r="H32" s="13"/>
      <c r="I32" s="13">
        <v>3250</v>
      </c>
    </row>
    <row r="33" spans="1:9" ht="18" customHeight="1">
      <c r="A33" s="2"/>
      <c r="B33" s="11" t="s">
        <v>50</v>
      </c>
      <c r="C33" s="12" t="s">
        <v>51</v>
      </c>
      <c r="D33" s="15">
        <v>3450</v>
      </c>
      <c r="E33" s="13"/>
      <c r="F33" s="13">
        <f t="shared" si="0"/>
        <v>0</v>
      </c>
      <c r="G33" s="13">
        <f t="shared" si="1"/>
        <v>0</v>
      </c>
      <c r="H33" s="15">
        <v>3330</v>
      </c>
      <c r="I33" s="13"/>
    </row>
    <row r="34" spans="1:9" ht="18" customHeight="1">
      <c r="A34" s="2"/>
      <c r="B34" s="14" t="s">
        <v>52</v>
      </c>
      <c r="C34" s="12" t="s">
        <v>53</v>
      </c>
      <c r="D34" s="13"/>
      <c r="E34" s="19">
        <f>SUM(E7,E12,E13,E14,E18)</f>
        <v>92162</v>
      </c>
      <c r="F34" s="19">
        <f t="shared" si="0"/>
        <v>79.55</v>
      </c>
      <c r="G34" s="19">
        <f t="shared" si="1"/>
        <v>31.615871698113207</v>
      </c>
      <c r="H34" s="13"/>
      <c r="I34" s="19">
        <f>SUM(I7,I12,I13,I14,I18)</f>
        <v>91729.5</v>
      </c>
    </row>
    <row r="35" spans="1:9" ht="18" customHeight="1">
      <c r="A35" s="2"/>
      <c r="B35" s="14" t="s">
        <v>54</v>
      </c>
      <c r="C35" s="12" t="s">
        <v>55</v>
      </c>
      <c r="D35" s="13"/>
      <c r="E35" s="16">
        <v>13900</v>
      </c>
      <c r="F35" s="16">
        <f t="shared" si="0"/>
        <v>12</v>
      </c>
      <c r="G35" s="16">
        <f t="shared" si="1"/>
        <v>4.7692075471698114</v>
      </c>
      <c r="H35" s="13"/>
      <c r="I35" s="16">
        <v>13735</v>
      </c>
    </row>
    <row r="36" spans="1:9" ht="18" customHeight="1">
      <c r="A36" s="2"/>
      <c r="B36" s="14" t="s">
        <v>56</v>
      </c>
      <c r="C36" s="12" t="s">
        <v>57</v>
      </c>
      <c r="D36" s="13"/>
      <c r="E36" s="16">
        <v>10800</v>
      </c>
      <c r="F36" s="16">
        <f t="shared" si="0"/>
        <v>9.32</v>
      </c>
      <c r="G36" s="16">
        <f t="shared" si="1"/>
        <v>3.7040845283018871</v>
      </c>
      <c r="H36" s="13"/>
      <c r="I36" s="16">
        <v>10650</v>
      </c>
    </row>
    <row r="37" spans="1:9" ht="18" customHeight="1">
      <c r="A37" s="2"/>
      <c r="B37" s="14" t="s">
        <v>58</v>
      </c>
      <c r="C37" s="12" t="s">
        <v>59</v>
      </c>
      <c r="D37" s="13"/>
      <c r="E37" s="16">
        <v>990</v>
      </c>
      <c r="F37" s="16">
        <f t="shared" si="0"/>
        <v>0.85</v>
      </c>
      <c r="G37" s="16">
        <f t="shared" si="1"/>
        <v>0.33781886792452831</v>
      </c>
      <c r="H37" s="13"/>
      <c r="I37" s="16">
        <v>960</v>
      </c>
    </row>
    <row r="38" spans="1:9" ht="18" customHeight="1">
      <c r="A38" s="2"/>
      <c r="B38" s="14" t="s">
        <v>60</v>
      </c>
      <c r="C38" s="12" t="s">
        <v>61</v>
      </c>
      <c r="D38" s="13"/>
      <c r="E38" s="19">
        <f>SUM(E34,E35,E36,E37)</f>
        <v>117852</v>
      </c>
      <c r="F38" s="19">
        <f t="shared" si="0"/>
        <v>101.73</v>
      </c>
      <c r="G38" s="19">
        <f t="shared" si="1"/>
        <v>40.430956981132077</v>
      </c>
      <c r="H38" s="13"/>
      <c r="I38" s="19">
        <f>SUM(I34,I35,I36,I37)</f>
        <v>117074.5</v>
      </c>
    </row>
    <row r="39" spans="1:9" ht="18" customHeight="1">
      <c r="A39" s="2"/>
      <c r="B39" s="14" t="s">
        <v>62</v>
      </c>
      <c r="C39" s="12" t="s">
        <v>63</v>
      </c>
      <c r="D39" s="13"/>
      <c r="E39" s="16">
        <v>-2000</v>
      </c>
      <c r="F39" s="16">
        <f t="shared" si="0"/>
        <v>-1.73</v>
      </c>
      <c r="G39" s="16">
        <f t="shared" si="1"/>
        <v>-0.68756075471698108</v>
      </c>
      <c r="H39" s="13"/>
      <c r="I39" s="16">
        <f>-1840-300</f>
        <v>-2140</v>
      </c>
    </row>
    <row r="40" spans="1:9" ht="18" customHeight="1">
      <c r="A40" s="2"/>
      <c r="B40" s="14" t="s">
        <v>64</v>
      </c>
      <c r="C40" s="12" t="s">
        <v>65</v>
      </c>
      <c r="D40" s="13"/>
      <c r="E40" s="19">
        <f>SUM(E38,E39)</f>
        <v>115852</v>
      </c>
      <c r="F40" s="19">
        <f t="shared" si="0"/>
        <v>100</v>
      </c>
      <c r="G40" s="19">
        <f>($E$44*F40)/100</f>
        <v>39.743396226415094</v>
      </c>
      <c r="H40" s="13"/>
      <c r="I40" s="19">
        <f>SUM(I38,I39)</f>
        <v>114934.5</v>
      </c>
    </row>
    <row r="41" spans="1:9" ht="18" customHeight="1">
      <c r="A41" s="2"/>
      <c r="B41" s="14" t="s">
        <v>66</v>
      </c>
      <c r="C41" s="12" t="s">
        <v>67</v>
      </c>
      <c r="D41" s="13"/>
      <c r="E41" s="20">
        <f>SUM(E42,E43)</f>
        <v>2915</v>
      </c>
      <c r="F41" s="20"/>
      <c r="G41" s="20"/>
      <c r="H41" s="13"/>
      <c r="I41" s="20">
        <f>SUM(I42,I43)</f>
        <v>2915</v>
      </c>
    </row>
    <row r="42" spans="1:9" ht="18" customHeight="1">
      <c r="A42" s="2"/>
      <c r="B42" s="14"/>
      <c r="C42" s="12" t="s">
        <v>68</v>
      </c>
      <c r="D42" s="13"/>
      <c r="E42" s="13">
        <f>2020+65</f>
        <v>2085</v>
      </c>
      <c r="F42" s="13"/>
      <c r="G42" s="13"/>
      <c r="H42" s="13"/>
      <c r="I42" s="13">
        <f>2020+65</f>
        <v>2085</v>
      </c>
    </row>
    <row r="43" spans="1:9" ht="18" customHeight="1">
      <c r="A43" s="2"/>
      <c r="B43" s="14"/>
      <c r="C43" s="12" t="s">
        <v>69</v>
      </c>
      <c r="D43" s="13"/>
      <c r="E43" s="13">
        <f>725+105</f>
        <v>830</v>
      </c>
      <c r="F43" s="13"/>
      <c r="G43" s="13"/>
      <c r="H43" s="13"/>
      <c r="I43" s="13">
        <f>725+105</f>
        <v>830</v>
      </c>
    </row>
    <row r="44" spans="1:9" s="25" customFormat="1" ht="18" customHeight="1">
      <c r="A44" s="21"/>
      <c r="B44" s="22" t="s">
        <v>70</v>
      </c>
      <c r="C44" s="23" t="s">
        <v>71</v>
      </c>
      <c r="D44" s="24"/>
      <c r="E44" s="24">
        <f>E40/E41</f>
        <v>39.743396226415094</v>
      </c>
      <c r="F44" s="24"/>
      <c r="G44" s="24"/>
      <c r="H44" s="24"/>
      <c r="I44" s="24">
        <f>I40/I41</f>
        <v>39.428644939965693</v>
      </c>
    </row>
    <row r="45" spans="1:9" ht="18" customHeight="1">
      <c r="A45" s="2"/>
      <c r="B45" s="14" t="s">
        <v>72</v>
      </c>
      <c r="C45" s="12" t="s">
        <v>73</v>
      </c>
      <c r="D45" s="13"/>
      <c r="E45" s="26">
        <v>41.05</v>
      </c>
      <c r="F45" s="26"/>
      <c r="G45" s="26"/>
      <c r="H45" s="13"/>
      <c r="I45" s="26">
        <v>40.65</v>
      </c>
    </row>
    <row r="46" spans="1:9" ht="18" customHeight="1">
      <c r="A46" s="2"/>
      <c r="B46" s="14"/>
      <c r="C46" s="12" t="s">
        <v>74</v>
      </c>
      <c r="D46" s="13"/>
      <c r="E46" s="26">
        <v>41.05</v>
      </c>
      <c r="F46" s="26"/>
      <c r="G46" s="26"/>
      <c r="H46" s="13"/>
      <c r="I46" s="26">
        <v>40.65</v>
      </c>
    </row>
    <row r="47" spans="1:9" ht="18" customHeight="1">
      <c r="A47" s="2"/>
      <c r="B47" s="14" t="s">
        <v>75</v>
      </c>
      <c r="C47" s="12" t="s">
        <v>76</v>
      </c>
      <c r="D47" s="13"/>
      <c r="E47" s="26">
        <f>E45-E44</f>
        <v>1.3066037735849036</v>
      </c>
      <c r="F47" s="26"/>
      <c r="G47" s="26"/>
      <c r="H47" s="13"/>
      <c r="I47" s="26">
        <f>I45-I44</f>
        <v>1.2213550600343055</v>
      </c>
    </row>
    <row r="48" spans="1:9" ht="18" customHeight="1">
      <c r="A48" s="2"/>
      <c r="B48" s="14"/>
      <c r="C48" s="12" t="s">
        <v>77</v>
      </c>
      <c r="D48" s="13"/>
      <c r="E48" s="26">
        <f>E46-E44</f>
        <v>1.3066037735849036</v>
      </c>
      <c r="F48" s="26"/>
      <c r="G48" s="26"/>
      <c r="H48" s="13"/>
      <c r="I48" s="26">
        <f>I46-I44</f>
        <v>1.2213550600343055</v>
      </c>
    </row>
    <row r="49" spans="1:9" s="25" customFormat="1" ht="18" customHeight="1" thickBot="1">
      <c r="A49" s="21"/>
      <c r="B49" s="27" t="s">
        <v>78</v>
      </c>
      <c r="C49" s="28" t="s">
        <v>79</v>
      </c>
      <c r="D49" s="29"/>
      <c r="E49" s="30">
        <f>E50/E40</f>
        <v>3.2875996961640716E-2</v>
      </c>
      <c r="F49" s="30"/>
      <c r="G49" s="30"/>
      <c r="H49" s="29"/>
      <c r="I49" s="30">
        <f>I50/I40</f>
        <v>3.0976338697258004E-2</v>
      </c>
    </row>
    <row r="50" spans="1:9" ht="18" customHeight="1" thickBot="1">
      <c r="A50" s="2"/>
      <c r="B50" s="31" t="s">
        <v>80</v>
      </c>
      <c r="C50" s="32" t="s">
        <v>81</v>
      </c>
      <c r="D50" s="33"/>
      <c r="E50" s="34">
        <f>((E45*E42+E46*E43)-E40)</f>
        <v>3808.75</v>
      </c>
      <c r="F50" s="34"/>
      <c r="G50" s="34"/>
      <c r="H50" s="33"/>
      <c r="I50" s="34">
        <f>((I45*I42+I46*I43)-I40)</f>
        <v>3560.25</v>
      </c>
    </row>
    <row r="51" spans="1:9" ht="18" customHeight="1">
      <c r="A51" s="2"/>
      <c r="B51" s="2"/>
      <c r="C51" s="5"/>
      <c r="D51" s="4"/>
      <c r="E51" s="4">
        <v>3809</v>
      </c>
      <c r="F51" s="4"/>
      <c r="G51" s="4"/>
      <c r="H51" s="4"/>
      <c r="I51" s="4"/>
    </row>
    <row r="52" spans="1:9" ht="18" customHeight="1">
      <c r="A52" s="2"/>
      <c r="B52" s="2"/>
      <c r="C52" s="5"/>
      <c r="D52" s="4"/>
      <c r="E52" s="4"/>
      <c r="F52" s="4"/>
      <c r="G52" s="4"/>
      <c r="H52" s="4"/>
      <c r="I52" s="4"/>
    </row>
    <row r="53" spans="1:9" ht="18" customHeight="1">
      <c r="A53" s="2"/>
      <c r="B53" s="2" t="s">
        <v>82</v>
      </c>
      <c r="C53" s="5"/>
      <c r="D53" s="4" t="s">
        <v>83</v>
      </c>
      <c r="E53" s="4"/>
      <c r="F53" s="4"/>
      <c r="G53" s="4"/>
      <c r="H53" s="4"/>
      <c r="I53" s="4"/>
    </row>
    <row r="54" spans="1:9" ht="18" customHeight="1">
      <c r="A54" s="2"/>
      <c r="B54" s="2" t="s">
        <v>84</v>
      </c>
      <c r="C54" s="35" t="s">
        <v>85</v>
      </c>
      <c r="D54" s="4"/>
      <c r="E54" s="4"/>
      <c r="F54" s="4"/>
      <c r="G54" s="4"/>
      <c r="H54" s="4"/>
      <c r="I54" s="4"/>
    </row>
    <row r="55" spans="1:9" ht="18" customHeight="1">
      <c r="A55" s="2"/>
      <c r="B55" s="2"/>
      <c r="C55" s="35"/>
      <c r="D55" s="4"/>
      <c r="E55" s="4"/>
      <c r="F55" s="4"/>
      <c r="G55" s="4"/>
      <c r="H55" s="4"/>
      <c r="I55" s="4"/>
    </row>
    <row r="56" spans="1:9" ht="18" customHeight="1">
      <c r="A56" s="2"/>
      <c r="B56" s="2"/>
      <c r="C56" s="5"/>
      <c r="D56" s="4"/>
      <c r="E56" s="4"/>
      <c r="F56" s="4"/>
      <c r="G56" s="4"/>
      <c r="H56" s="4"/>
      <c r="I56" s="4"/>
    </row>
    <row r="57" spans="1:9">
      <c r="A57" s="36"/>
      <c r="B57" s="1"/>
      <c r="C57" s="37"/>
      <c r="D57" s="38"/>
      <c r="E57" s="38"/>
      <c r="F57" s="38"/>
      <c r="G57" s="38"/>
      <c r="H57" s="38"/>
      <c r="I57" s="38"/>
    </row>
    <row r="58" spans="1:9">
      <c r="A58" s="36"/>
      <c r="B58" s="1"/>
      <c r="C58" s="37"/>
      <c r="D58" s="38"/>
      <c r="E58" s="38"/>
      <c r="F58" s="38"/>
      <c r="G58" s="38"/>
      <c r="H58" s="38"/>
      <c r="I58" s="38"/>
    </row>
    <row r="59" spans="1:9">
      <c r="A59" s="36"/>
      <c r="B59" s="1"/>
      <c r="C59" s="37"/>
      <c r="D59" s="38"/>
      <c r="E59" s="38"/>
      <c r="F59" s="38"/>
      <c r="G59" s="38"/>
      <c r="H59" s="38"/>
      <c r="I59" s="38"/>
    </row>
    <row r="60" spans="1:9">
      <c r="A60" s="1"/>
      <c r="B60" s="1"/>
      <c r="C60" s="37"/>
      <c r="D60" s="38"/>
      <c r="E60" s="38"/>
      <c r="F60" s="38"/>
      <c r="G60" s="38"/>
      <c r="H60" s="38"/>
      <c r="I60" s="38"/>
    </row>
    <row r="61" spans="1:9">
      <c r="A61" s="1"/>
      <c r="B61" s="1"/>
      <c r="C61" s="37"/>
      <c r="D61" s="38"/>
      <c r="E61" s="38"/>
      <c r="F61" s="38"/>
      <c r="G61" s="38"/>
      <c r="H61" s="38"/>
      <c r="I61" s="38"/>
    </row>
    <row r="62" spans="1:9">
      <c r="A62" s="1"/>
      <c r="B62" s="1"/>
      <c r="C62" s="37"/>
      <c r="D62" s="38"/>
      <c r="E62" s="38"/>
      <c r="F62" s="38"/>
      <c r="G62" s="38"/>
      <c r="H62" s="38"/>
      <c r="I62" s="38"/>
    </row>
    <row r="63" spans="1:9" ht="21">
      <c r="A63" s="1"/>
      <c r="B63" s="57" t="s">
        <v>86</v>
      </c>
      <c r="C63" s="57"/>
      <c r="D63" s="57"/>
      <c r="E63" s="57"/>
      <c r="F63" s="42"/>
      <c r="G63" s="42"/>
      <c r="H63"/>
      <c r="I63"/>
    </row>
    <row r="64" spans="1:9" ht="15.6">
      <c r="A64" s="1"/>
      <c r="B64" s="58" t="s">
        <v>1</v>
      </c>
      <c r="C64" s="58"/>
      <c r="D64" s="58"/>
      <c r="E64" s="58"/>
      <c r="F64" s="43"/>
      <c r="G64" s="43"/>
      <c r="H64"/>
      <c r="I64"/>
    </row>
    <row r="65" spans="1:9" ht="13.8">
      <c r="A65" s="2"/>
      <c r="B65" s="2"/>
      <c r="C65" s="5"/>
      <c r="D65" s="4"/>
      <c r="E65" s="4"/>
      <c r="F65" s="4"/>
      <c r="G65" s="4"/>
      <c r="H65" s="4"/>
      <c r="I65" s="4"/>
    </row>
    <row r="66" spans="1:9" ht="18" customHeight="1">
      <c r="A66" s="2"/>
      <c r="B66" s="2"/>
      <c r="C66" s="5"/>
      <c r="D66" s="4"/>
      <c r="E66" s="4"/>
      <c r="F66" s="4"/>
      <c r="G66" s="4"/>
      <c r="H66" s="4"/>
      <c r="I66" s="4"/>
    </row>
    <row r="67" spans="1:9" ht="18" customHeight="1">
      <c r="A67" s="2"/>
      <c r="B67" s="2"/>
      <c r="C67" s="6" t="s">
        <v>2</v>
      </c>
      <c r="D67" s="4"/>
      <c r="E67" s="4"/>
      <c r="F67" s="4"/>
      <c r="G67" s="4"/>
      <c r="H67" s="4"/>
      <c r="I67" s="4"/>
    </row>
    <row r="68" spans="1:9" ht="29.25" customHeight="1" thickBot="1">
      <c r="A68" s="2"/>
      <c r="B68" s="56" t="s">
        <v>96</v>
      </c>
      <c r="C68" s="56"/>
      <c r="D68" s="39" t="s">
        <v>88</v>
      </c>
      <c r="E68" s="39" t="s">
        <v>89</v>
      </c>
      <c r="F68" s="44" t="s">
        <v>97</v>
      </c>
      <c r="G68" s="44" t="s">
        <v>98</v>
      </c>
      <c r="H68" t="s">
        <v>4</v>
      </c>
      <c r="I68" t="s">
        <v>4</v>
      </c>
    </row>
    <row r="69" spans="1:9" ht="18" customHeight="1">
      <c r="A69" s="2"/>
      <c r="B69" s="7" t="s">
        <v>5</v>
      </c>
      <c r="C69" s="8" t="s">
        <v>6</v>
      </c>
      <c r="D69" s="9"/>
      <c r="E69" s="10">
        <f>SUM(E70:E73)</f>
        <v>5850</v>
      </c>
      <c r="F69" s="10">
        <f>ROUND((E69/$E$102)*100,2)</f>
        <v>5.61</v>
      </c>
      <c r="G69" s="10">
        <f>($E$106*F69)/100</f>
        <v>2.2258261596958175</v>
      </c>
      <c r="H69" s="9"/>
      <c r="I69" s="10">
        <f>SUM(I70:I73)</f>
        <v>5600</v>
      </c>
    </row>
    <row r="70" spans="1:9" ht="18" customHeight="1">
      <c r="A70" s="2"/>
      <c r="B70" s="11" t="s">
        <v>7</v>
      </c>
      <c r="C70" s="12" t="s">
        <v>8</v>
      </c>
      <c r="D70" s="13"/>
      <c r="E70" s="13">
        <v>1850</v>
      </c>
      <c r="F70" s="13">
        <f t="shared" ref="F70:F102" si="2">ROUND((E70/$E$102)*100,2)</f>
        <v>1.77</v>
      </c>
      <c r="G70" s="13">
        <f t="shared" ref="G70:G102" si="3">($E$106*F70)/100</f>
        <v>0.70226600760456281</v>
      </c>
      <c r="H70" s="13"/>
      <c r="I70" s="13">
        <v>1750</v>
      </c>
    </row>
    <row r="71" spans="1:9" ht="18" customHeight="1">
      <c r="A71" s="2"/>
      <c r="B71" s="11" t="s">
        <v>9</v>
      </c>
      <c r="C71" s="12" t="s">
        <v>10</v>
      </c>
      <c r="D71" s="13"/>
      <c r="E71" s="13"/>
      <c r="F71" s="13">
        <f t="shared" si="2"/>
        <v>0</v>
      </c>
      <c r="G71" s="13">
        <f t="shared" si="3"/>
        <v>0</v>
      </c>
      <c r="H71" s="13"/>
      <c r="I71" s="13"/>
    </row>
    <row r="72" spans="1:9" ht="18" customHeight="1">
      <c r="A72" s="2"/>
      <c r="B72" s="11" t="s">
        <v>11</v>
      </c>
      <c r="C72" s="12" t="s">
        <v>12</v>
      </c>
      <c r="D72" s="13"/>
      <c r="E72" s="13"/>
      <c r="F72" s="13">
        <f t="shared" si="2"/>
        <v>0</v>
      </c>
      <c r="G72" s="13">
        <f t="shared" si="3"/>
        <v>0</v>
      </c>
      <c r="H72" s="13"/>
      <c r="I72" s="13"/>
    </row>
    <row r="73" spans="1:9" ht="18" customHeight="1">
      <c r="A73" s="2"/>
      <c r="B73" s="11" t="s">
        <v>13</v>
      </c>
      <c r="C73" s="12" t="s">
        <v>90</v>
      </c>
      <c r="D73" s="13"/>
      <c r="E73" s="13">
        <v>4000</v>
      </c>
      <c r="F73" s="13">
        <f t="shared" si="2"/>
        <v>3.83</v>
      </c>
      <c r="G73" s="13">
        <f t="shared" si="3"/>
        <v>1.519592547528517</v>
      </c>
      <c r="H73" s="13"/>
      <c r="I73" s="13">
        <v>3850</v>
      </c>
    </row>
    <row r="74" spans="1:9" ht="18" customHeight="1">
      <c r="A74" s="2"/>
      <c r="B74" s="14" t="s">
        <v>15</v>
      </c>
      <c r="C74" s="12" t="s">
        <v>16</v>
      </c>
      <c r="D74" s="15">
        <v>7500</v>
      </c>
      <c r="E74" s="16"/>
      <c r="F74" s="16">
        <f t="shared" si="2"/>
        <v>0</v>
      </c>
      <c r="G74" s="16">
        <f t="shared" si="3"/>
        <v>0</v>
      </c>
      <c r="H74" s="15">
        <v>7300</v>
      </c>
      <c r="I74" s="16"/>
    </row>
    <row r="75" spans="1:9" ht="18" customHeight="1">
      <c r="A75" s="2"/>
      <c r="B75" s="14" t="s">
        <v>17</v>
      </c>
      <c r="C75" s="12" t="s">
        <v>18</v>
      </c>
      <c r="D75" s="13"/>
      <c r="E75" s="16">
        <f>51400-942</f>
        <v>50458</v>
      </c>
      <c r="F75" s="16">
        <f t="shared" si="2"/>
        <v>48.36</v>
      </c>
      <c r="G75" s="16">
        <f t="shared" si="3"/>
        <v>19.187335665399239</v>
      </c>
      <c r="H75" s="13"/>
      <c r="I75" s="16">
        <f>49435+2000</f>
        <v>51435</v>
      </c>
    </row>
    <row r="76" spans="1:9" ht="18" customHeight="1">
      <c r="A76" s="2"/>
      <c r="B76" s="14" t="s">
        <v>19</v>
      </c>
      <c r="C76" s="12" t="s">
        <v>20</v>
      </c>
      <c r="D76" s="13"/>
      <c r="E76" s="17">
        <f>SUM(E77:E79)</f>
        <v>20460</v>
      </c>
      <c r="F76" s="17">
        <f t="shared" si="2"/>
        <v>19.61</v>
      </c>
      <c r="G76" s="17">
        <f t="shared" si="3"/>
        <v>7.7804725475285172</v>
      </c>
      <c r="H76" s="13"/>
      <c r="I76" s="17">
        <f>SUM(I77:I79)</f>
        <v>19881</v>
      </c>
    </row>
    <row r="77" spans="1:9" ht="18" customHeight="1">
      <c r="A77" s="2"/>
      <c r="B77" s="11" t="s">
        <v>7</v>
      </c>
      <c r="C77" s="12" t="s">
        <v>21</v>
      </c>
      <c r="D77" s="13"/>
      <c r="E77" s="13">
        <v>3000</v>
      </c>
      <c r="F77" s="13">
        <f t="shared" si="2"/>
        <v>2.87</v>
      </c>
      <c r="G77" s="13">
        <f t="shared" si="3"/>
        <v>1.1387025095057033</v>
      </c>
      <c r="H77" s="13"/>
      <c r="I77" s="13">
        <v>2750</v>
      </c>
    </row>
    <row r="78" spans="1:9" ht="18" customHeight="1">
      <c r="A78" s="2"/>
      <c r="B78" s="11" t="s">
        <v>9</v>
      </c>
      <c r="C78" s="12" t="s">
        <v>22</v>
      </c>
      <c r="D78" s="13"/>
      <c r="E78" s="18">
        <f>D74+D88+D95+D93</f>
        <v>15960</v>
      </c>
      <c r="F78" s="18">
        <f t="shared" si="2"/>
        <v>15.29</v>
      </c>
      <c r="G78" s="18">
        <f t="shared" si="3"/>
        <v>6.0664673764258552</v>
      </c>
      <c r="H78" s="13"/>
      <c r="I78" s="18">
        <f>H74+H88+H95+H93</f>
        <v>15631</v>
      </c>
    </row>
    <row r="79" spans="1:9" ht="18" customHeight="1">
      <c r="A79" s="2"/>
      <c r="B79" s="11" t="s">
        <v>11</v>
      </c>
      <c r="C79" s="12" t="s">
        <v>91</v>
      </c>
      <c r="D79" s="13"/>
      <c r="E79" s="13">
        <v>1500</v>
      </c>
      <c r="F79" s="13">
        <f t="shared" si="2"/>
        <v>1.44</v>
      </c>
      <c r="G79" s="13">
        <f t="shared" si="3"/>
        <v>0.57133505703422049</v>
      </c>
      <c r="H79" s="13"/>
      <c r="I79" s="13">
        <v>1500</v>
      </c>
    </row>
    <row r="80" spans="1:9" ht="18" customHeight="1">
      <c r="A80" s="2"/>
      <c r="B80" s="14" t="s">
        <v>24</v>
      </c>
      <c r="C80" s="12" t="s">
        <v>25</v>
      </c>
      <c r="D80" s="13"/>
      <c r="E80" s="17">
        <f>SUM(E81:E95)+D86</f>
        <v>14640</v>
      </c>
      <c r="F80" s="17">
        <f t="shared" si="2"/>
        <v>14.03</v>
      </c>
      <c r="G80" s="17">
        <f t="shared" si="3"/>
        <v>5.5665492015209121</v>
      </c>
      <c r="H80" s="13"/>
      <c r="I80" s="17">
        <f>SUM(I81:I95)+H86</f>
        <v>14640</v>
      </c>
    </row>
    <row r="81" spans="1:9" ht="18" customHeight="1">
      <c r="A81" s="2"/>
      <c r="B81" s="11" t="s">
        <v>7</v>
      </c>
      <c r="C81" s="12" t="s">
        <v>26</v>
      </c>
      <c r="D81" s="13"/>
      <c r="E81" s="13">
        <v>15</v>
      </c>
      <c r="F81" s="13">
        <f t="shared" si="2"/>
        <v>0.01</v>
      </c>
      <c r="G81" s="13">
        <f t="shared" si="3"/>
        <v>3.9676045627376425E-3</v>
      </c>
      <c r="H81" s="13"/>
      <c r="I81" s="13">
        <v>15</v>
      </c>
    </row>
    <row r="82" spans="1:9" ht="18" customHeight="1">
      <c r="A82" s="2"/>
      <c r="B82" s="11" t="s">
        <v>9</v>
      </c>
      <c r="C82" s="12" t="s">
        <v>27</v>
      </c>
      <c r="D82" s="13"/>
      <c r="E82" s="13">
        <v>50</v>
      </c>
      <c r="F82" s="13">
        <f t="shared" si="2"/>
        <v>0.05</v>
      </c>
      <c r="G82" s="13">
        <f t="shared" si="3"/>
        <v>1.9838022813688214E-2</v>
      </c>
      <c r="H82" s="13"/>
      <c r="I82" s="13">
        <v>50</v>
      </c>
    </row>
    <row r="83" spans="1:9" ht="18" customHeight="1">
      <c r="A83" s="2"/>
      <c r="B83" s="11" t="s">
        <v>11</v>
      </c>
      <c r="C83" s="12" t="s">
        <v>28</v>
      </c>
      <c r="D83" s="13"/>
      <c r="E83" s="13">
        <f>8600-850</f>
        <v>7750</v>
      </c>
      <c r="F83" s="13">
        <f t="shared" si="2"/>
        <v>7.43</v>
      </c>
      <c r="G83" s="13">
        <f t="shared" si="3"/>
        <v>2.9479301901140684</v>
      </c>
      <c r="H83" s="13"/>
      <c r="I83" s="13">
        <v>8600</v>
      </c>
    </row>
    <row r="84" spans="1:9" ht="18" customHeight="1">
      <c r="A84" s="2"/>
      <c r="B84" s="11" t="s">
        <v>13</v>
      </c>
      <c r="C84" s="12" t="s">
        <v>29</v>
      </c>
      <c r="D84" s="13"/>
      <c r="E84" s="13">
        <v>200</v>
      </c>
      <c r="F84" s="13">
        <f t="shared" si="2"/>
        <v>0.19</v>
      </c>
      <c r="G84" s="13">
        <f t="shared" si="3"/>
        <v>7.538448669201521E-2</v>
      </c>
      <c r="H84" s="13"/>
      <c r="I84" s="13">
        <v>150</v>
      </c>
    </row>
    <row r="85" spans="1:9" ht="18" customHeight="1">
      <c r="A85" s="2"/>
      <c r="B85" s="11" t="s">
        <v>30</v>
      </c>
      <c r="C85" s="12" t="s">
        <v>31</v>
      </c>
      <c r="D85" s="13"/>
      <c r="E85" s="13">
        <v>55</v>
      </c>
      <c r="F85" s="13">
        <f t="shared" si="2"/>
        <v>0.05</v>
      </c>
      <c r="G85" s="13">
        <f t="shared" si="3"/>
        <v>1.9838022813688214E-2</v>
      </c>
      <c r="H85" s="13"/>
      <c r="I85" s="13">
        <v>55</v>
      </c>
    </row>
    <row r="86" spans="1:9" ht="18" customHeight="1">
      <c r="A86" s="2"/>
      <c r="B86" s="11" t="s">
        <v>32</v>
      </c>
      <c r="C86" s="12" t="s">
        <v>33</v>
      </c>
      <c r="D86" s="13"/>
      <c r="E86" s="13">
        <v>2500</v>
      </c>
      <c r="F86" s="13">
        <f t="shared" si="2"/>
        <v>2.4</v>
      </c>
      <c r="G86" s="13">
        <f t="shared" si="3"/>
        <v>0.95222509505703412</v>
      </c>
      <c r="H86" s="13"/>
      <c r="I86" s="13">
        <v>1850</v>
      </c>
    </row>
    <row r="87" spans="1:9" ht="18" customHeight="1">
      <c r="A87" s="2"/>
      <c r="B87" s="11" t="s">
        <v>34</v>
      </c>
      <c r="C87" s="12" t="s">
        <v>35</v>
      </c>
      <c r="D87" s="13"/>
      <c r="E87" s="13">
        <v>500</v>
      </c>
      <c r="F87" s="13">
        <f t="shared" si="2"/>
        <v>0.48</v>
      </c>
      <c r="G87" s="13">
        <f t="shared" si="3"/>
        <v>0.19044501901140684</v>
      </c>
      <c r="H87" s="13"/>
      <c r="I87" s="13">
        <v>500</v>
      </c>
    </row>
    <row r="88" spans="1:9" ht="18" customHeight="1">
      <c r="A88" s="2"/>
      <c r="B88" s="11" t="s">
        <v>36</v>
      </c>
      <c r="C88" s="12" t="s">
        <v>37</v>
      </c>
      <c r="D88" s="13">
        <v>2550</v>
      </c>
      <c r="E88" s="13"/>
      <c r="F88" s="13">
        <f t="shared" si="2"/>
        <v>0</v>
      </c>
      <c r="G88" s="13">
        <f t="shared" si="3"/>
        <v>0</v>
      </c>
      <c r="H88" s="13">
        <v>2481</v>
      </c>
      <c r="I88" s="13"/>
    </row>
    <row r="89" spans="1:9" ht="18" customHeight="1">
      <c r="A89" s="2"/>
      <c r="B89" s="11" t="s">
        <v>38</v>
      </c>
      <c r="C89" s="12" t="s">
        <v>39</v>
      </c>
      <c r="D89" s="15"/>
      <c r="E89" s="13">
        <v>20</v>
      </c>
      <c r="F89" s="13">
        <f t="shared" si="2"/>
        <v>0.02</v>
      </c>
      <c r="G89" s="13">
        <f t="shared" si="3"/>
        <v>7.935209125475285E-3</v>
      </c>
      <c r="H89" s="15"/>
      <c r="I89" s="13">
        <v>20</v>
      </c>
    </row>
    <row r="90" spans="1:9" ht="18" customHeight="1">
      <c r="A90" s="2"/>
      <c r="B90" s="11" t="s">
        <v>40</v>
      </c>
      <c r="C90" s="12" t="s">
        <v>92</v>
      </c>
      <c r="D90" s="13"/>
      <c r="E90" s="13">
        <v>450</v>
      </c>
      <c r="F90" s="13">
        <f t="shared" si="2"/>
        <v>0.43</v>
      </c>
      <c r="G90" s="13">
        <f t="shared" si="3"/>
        <v>0.17060699619771863</v>
      </c>
      <c r="H90" s="13"/>
      <c r="I90" s="13">
        <v>450</v>
      </c>
    </row>
    <row r="91" spans="1:9" ht="18" customHeight="1">
      <c r="A91" s="2"/>
      <c r="B91" s="11" t="s">
        <v>42</v>
      </c>
      <c r="C91" s="12" t="s">
        <v>43</v>
      </c>
      <c r="D91" s="13"/>
      <c r="E91" s="13"/>
      <c r="F91" s="13">
        <f t="shared" si="2"/>
        <v>0</v>
      </c>
      <c r="G91" s="13">
        <f t="shared" si="3"/>
        <v>0</v>
      </c>
      <c r="H91" s="13"/>
      <c r="I91" s="13"/>
    </row>
    <row r="92" spans="1:9" ht="18" customHeight="1">
      <c r="A92" s="2"/>
      <c r="B92" s="11" t="s">
        <v>44</v>
      </c>
      <c r="C92" s="12" t="s">
        <v>45</v>
      </c>
      <c r="D92" s="13"/>
      <c r="E92" s="13">
        <v>1650</v>
      </c>
      <c r="F92" s="13">
        <f t="shared" si="2"/>
        <v>1.58</v>
      </c>
      <c r="G92" s="13">
        <f t="shared" si="3"/>
        <v>0.62688152091254756</v>
      </c>
      <c r="H92" s="13"/>
      <c r="I92" s="13">
        <v>1550</v>
      </c>
    </row>
    <row r="93" spans="1:9" ht="18" customHeight="1">
      <c r="A93" s="2"/>
      <c r="B93" s="11" t="s">
        <v>46</v>
      </c>
      <c r="C93" s="12" t="s">
        <v>47</v>
      </c>
      <c r="D93" s="15">
        <v>920</v>
      </c>
      <c r="E93" s="13"/>
      <c r="F93" s="13">
        <f t="shared" si="2"/>
        <v>0</v>
      </c>
      <c r="G93" s="13">
        <f t="shared" si="3"/>
        <v>0</v>
      </c>
      <c r="H93" s="15">
        <v>900</v>
      </c>
      <c r="I93" s="13"/>
    </row>
    <row r="94" spans="1:9" ht="18" customHeight="1">
      <c r="A94" s="2"/>
      <c r="B94" s="11" t="s">
        <v>48</v>
      </c>
      <c r="C94" s="12" t="s">
        <v>49</v>
      </c>
      <c r="D94" s="15"/>
      <c r="E94" s="13">
        <v>1450</v>
      </c>
      <c r="F94" s="13">
        <f t="shared" si="2"/>
        <v>1.39</v>
      </c>
      <c r="G94" s="13">
        <f t="shared" si="3"/>
        <v>0.55149703422053231</v>
      </c>
      <c r="H94" s="15"/>
      <c r="I94" s="13">
        <v>1400</v>
      </c>
    </row>
    <row r="95" spans="1:9" ht="18" customHeight="1">
      <c r="A95" s="2"/>
      <c r="B95" s="11" t="s">
        <v>50</v>
      </c>
      <c r="C95" s="12" t="s">
        <v>51</v>
      </c>
      <c r="D95" s="13">
        <v>4990</v>
      </c>
      <c r="E95" s="13"/>
      <c r="F95" s="13">
        <f t="shared" si="2"/>
        <v>0</v>
      </c>
      <c r="G95" s="13">
        <f t="shared" si="3"/>
        <v>0</v>
      </c>
      <c r="H95" s="13">
        <v>4950</v>
      </c>
      <c r="I95" s="13"/>
    </row>
    <row r="96" spans="1:9" ht="18" customHeight="1">
      <c r="A96" s="2"/>
      <c r="B96" s="14" t="s">
        <v>52</v>
      </c>
      <c r="C96" s="12" t="s">
        <v>53</v>
      </c>
      <c r="D96" s="13"/>
      <c r="E96" s="19">
        <f>SUM(E69,E74,E75,E76,E80)</f>
        <v>91408</v>
      </c>
      <c r="F96" s="19">
        <f t="shared" si="2"/>
        <v>87.6</v>
      </c>
      <c r="G96" s="19">
        <f t="shared" si="3"/>
        <v>34.756215969581746</v>
      </c>
      <c r="H96" s="13"/>
      <c r="I96" s="19">
        <f>SUM(I69,I74,I75,I76,I80)</f>
        <v>91556</v>
      </c>
    </row>
    <row r="97" spans="1:9" ht="18" customHeight="1">
      <c r="A97" s="2"/>
      <c r="B97" s="14" t="s">
        <v>54</v>
      </c>
      <c r="C97" s="12" t="s">
        <v>55</v>
      </c>
      <c r="D97" s="13"/>
      <c r="E97" s="16">
        <v>6580</v>
      </c>
      <c r="F97" s="16">
        <f t="shared" si="2"/>
        <v>6.31</v>
      </c>
      <c r="G97" s="16">
        <f t="shared" si="3"/>
        <v>2.5035584790874523</v>
      </c>
      <c r="H97" s="13"/>
      <c r="I97" s="16">
        <v>6540</v>
      </c>
    </row>
    <row r="98" spans="1:9" ht="18" customHeight="1">
      <c r="A98" s="2"/>
      <c r="B98" s="14" t="s">
        <v>56</v>
      </c>
      <c r="C98" s="12" t="s">
        <v>57</v>
      </c>
      <c r="D98" s="13"/>
      <c r="E98" s="16">
        <v>6450</v>
      </c>
      <c r="F98" s="16">
        <f t="shared" si="2"/>
        <v>6.18</v>
      </c>
      <c r="G98" s="16">
        <f t="shared" si="3"/>
        <v>2.4519796197718629</v>
      </c>
      <c r="H98" s="13"/>
      <c r="I98" s="16">
        <v>6400</v>
      </c>
    </row>
    <row r="99" spans="1:9" ht="18" customHeight="1">
      <c r="A99" s="2"/>
      <c r="B99" s="14" t="s">
        <v>58</v>
      </c>
      <c r="C99" s="12" t="s">
        <v>59</v>
      </c>
      <c r="D99" s="13"/>
      <c r="E99" s="16">
        <v>160</v>
      </c>
      <c r="F99" s="16">
        <f t="shared" si="2"/>
        <v>0.15</v>
      </c>
      <c r="G99" s="16">
        <f t="shared" si="3"/>
        <v>5.9514068441064633E-2</v>
      </c>
      <c r="H99" s="13"/>
      <c r="I99" s="16">
        <v>130</v>
      </c>
    </row>
    <row r="100" spans="1:9" ht="18" customHeight="1">
      <c r="A100" s="2"/>
      <c r="B100" s="14" t="s">
        <v>60</v>
      </c>
      <c r="C100" s="12" t="s">
        <v>61</v>
      </c>
      <c r="D100" s="13"/>
      <c r="E100" s="19">
        <f>SUM(E96,E97,E98,E99)</f>
        <v>104598</v>
      </c>
      <c r="F100" s="19">
        <f t="shared" si="2"/>
        <v>100.24</v>
      </c>
      <c r="G100" s="19">
        <f t="shared" si="3"/>
        <v>39.771268136882128</v>
      </c>
      <c r="H100" s="13"/>
      <c r="I100" s="19">
        <f>SUM(I96,I97,I98,I99)</f>
        <v>104626</v>
      </c>
    </row>
    <row r="101" spans="1:9" ht="18" customHeight="1">
      <c r="A101" s="2"/>
      <c r="B101" s="14" t="s">
        <v>62</v>
      </c>
      <c r="C101" s="12" t="s">
        <v>93</v>
      </c>
      <c r="D101" s="13"/>
      <c r="E101" s="16">
        <f>-250</f>
        <v>-250</v>
      </c>
      <c r="F101" s="16">
        <f t="shared" si="2"/>
        <v>-0.24</v>
      </c>
      <c r="G101" s="16">
        <f t="shared" si="3"/>
        <v>-9.522250950570342E-2</v>
      </c>
      <c r="H101" s="13"/>
      <c r="I101" s="16">
        <f>-250</f>
        <v>-250</v>
      </c>
    </row>
    <row r="102" spans="1:9" ht="18" customHeight="1">
      <c r="A102" s="2"/>
      <c r="B102" s="14" t="s">
        <v>64</v>
      </c>
      <c r="C102" s="12" t="s">
        <v>65</v>
      </c>
      <c r="D102" s="13"/>
      <c r="E102" s="19">
        <f>SUM(E100,E101)</f>
        <v>104348</v>
      </c>
      <c r="F102" s="19">
        <f t="shared" si="2"/>
        <v>100</v>
      </c>
      <c r="G102" s="19">
        <f t="shared" si="3"/>
        <v>39.676045627376425</v>
      </c>
      <c r="H102" s="13"/>
      <c r="I102" s="19">
        <f>SUM(I100,I101)</f>
        <v>104376</v>
      </c>
    </row>
    <row r="103" spans="1:9" ht="18" customHeight="1">
      <c r="A103" s="2"/>
      <c r="B103" s="14" t="s">
        <v>66</v>
      </c>
      <c r="C103" s="12" t="s">
        <v>94</v>
      </c>
      <c r="D103" s="13"/>
      <c r="E103" s="20">
        <f>SUM(E104,E105)</f>
        <v>2630</v>
      </c>
      <c r="F103" s="20"/>
      <c r="G103" s="20"/>
      <c r="H103" s="13"/>
      <c r="I103" s="20">
        <f>SUM(I104,I105)</f>
        <v>2651</v>
      </c>
    </row>
    <row r="104" spans="1:9" ht="18" customHeight="1">
      <c r="A104" s="2"/>
      <c r="B104" s="14"/>
      <c r="C104" s="12" t="s">
        <v>68</v>
      </c>
      <c r="D104" s="13"/>
      <c r="E104" s="13">
        <v>1600</v>
      </c>
      <c r="F104" s="13"/>
      <c r="G104" s="13"/>
      <c r="H104" s="13"/>
      <c r="I104" s="13">
        <f>1530+64</f>
        <v>1594</v>
      </c>
    </row>
    <row r="105" spans="1:9" ht="18" customHeight="1">
      <c r="A105" s="2"/>
      <c r="B105" s="14"/>
      <c r="C105" s="12" t="s">
        <v>69</v>
      </c>
      <c r="D105" s="13"/>
      <c r="E105" s="13">
        <v>1030</v>
      </c>
      <c r="F105" s="13"/>
      <c r="G105" s="13"/>
      <c r="H105" s="13"/>
      <c r="I105" s="13">
        <f>1035+22</f>
        <v>1057</v>
      </c>
    </row>
    <row r="106" spans="1:9" ht="18" customHeight="1">
      <c r="A106" s="2"/>
      <c r="B106" s="22" t="s">
        <v>70</v>
      </c>
      <c r="C106" s="23" t="s">
        <v>71</v>
      </c>
      <c r="D106" s="24"/>
      <c r="E106" s="24">
        <f>E102/E103</f>
        <v>39.676045627376425</v>
      </c>
      <c r="F106" s="24"/>
      <c r="G106" s="24"/>
      <c r="H106" s="24"/>
      <c r="I106" s="24">
        <f>I102/I103</f>
        <v>39.372312334967937</v>
      </c>
    </row>
    <row r="107" spans="1:9" ht="18" customHeight="1">
      <c r="A107" s="2"/>
      <c r="B107" s="14" t="s">
        <v>72</v>
      </c>
      <c r="C107" s="12" t="s">
        <v>73</v>
      </c>
      <c r="D107" s="13"/>
      <c r="E107" s="26">
        <v>41</v>
      </c>
      <c r="F107" s="26"/>
      <c r="G107" s="26"/>
      <c r="H107" s="13"/>
      <c r="I107" s="26">
        <v>40.6</v>
      </c>
    </row>
    <row r="108" spans="1:9" ht="18" customHeight="1">
      <c r="A108" s="2"/>
      <c r="B108" s="14"/>
      <c r="C108" s="12" t="s">
        <v>74</v>
      </c>
      <c r="D108" s="13"/>
      <c r="E108" s="26">
        <v>41</v>
      </c>
      <c r="F108" s="26"/>
      <c r="G108" s="26"/>
      <c r="H108" s="13"/>
      <c r="I108" s="26">
        <v>40.6</v>
      </c>
    </row>
    <row r="109" spans="1:9" ht="18" customHeight="1">
      <c r="A109" s="2"/>
      <c r="B109" s="14" t="s">
        <v>75</v>
      </c>
      <c r="C109" s="12" t="s">
        <v>76</v>
      </c>
      <c r="D109" s="13"/>
      <c r="E109" s="26">
        <f>E107-E106</f>
        <v>1.3239543726235752</v>
      </c>
      <c r="F109" s="26"/>
      <c r="G109" s="26"/>
      <c r="H109" s="13"/>
      <c r="I109" s="26">
        <f>I107-I106</f>
        <v>1.2276876650320645</v>
      </c>
    </row>
    <row r="110" spans="1:9" ht="18" customHeight="1">
      <c r="A110" s="2"/>
      <c r="B110" s="14"/>
      <c r="C110" s="12" t="s">
        <v>77</v>
      </c>
      <c r="D110" s="13"/>
      <c r="E110" s="26">
        <f>E108-E106</f>
        <v>1.3239543726235752</v>
      </c>
      <c r="F110" s="26"/>
      <c r="G110" s="26"/>
      <c r="H110" s="13"/>
      <c r="I110" s="26">
        <f>I108-I106</f>
        <v>1.2276876650320645</v>
      </c>
    </row>
    <row r="111" spans="1:9" ht="18" customHeight="1" thickBot="1">
      <c r="A111" s="2"/>
      <c r="B111" s="27" t="s">
        <v>78</v>
      </c>
      <c r="C111" s="28" t="s">
        <v>79</v>
      </c>
      <c r="D111" s="29"/>
      <c r="E111" s="30">
        <f>E112/E102</f>
        <v>3.3369111051481583E-2</v>
      </c>
      <c r="F111" s="30"/>
      <c r="G111" s="30"/>
      <c r="H111" s="29"/>
      <c r="I111" s="30">
        <f>I112/I102</f>
        <v>3.1181497662297903E-2</v>
      </c>
    </row>
    <row r="112" spans="1:9" ht="18" customHeight="1" thickBot="1">
      <c r="A112" s="2"/>
      <c r="B112" s="31" t="s">
        <v>80</v>
      </c>
      <c r="C112" s="32" t="s">
        <v>81</v>
      </c>
      <c r="D112" s="33"/>
      <c r="E112" s="34">
        <f>((E107*E104+E108*E105)-E102)</f>
        <v>3482</v>
      </c>
      <c r="F112" s="34"/>
      <c r="G112" s="34"/>
      <c r="H112" s="33"/>
      <c r="I112" s="34">
        <f>((I107*I104+I108*I105)-I102)</f>
        <v>3254.6000000000058</v>
      </c>
    </row>
    <row r="113" spans="1:9" ht="18" customHeight="1">
      <c r="A113" s="2"/>
      <c r="B113" s="2"/>
      <c r="C113" s="5"/>
      <c r="D113" s="4"/>
      <c r="E113" s="4">
        <v>3482</v>
      </c>
      <c r="F113" s="4"/>
      <c r="G113" s="4"/>
      <c r="H113" s="4"/>
      <c r="I113" s="4"/>
    </row>
    <row r="114" spans="1:9" s="40" customFormat="1" ht="18" customHeight="1">
      <c r="A114" s="2"/>
      <c r="B114" s="2"/>
      <c r="C114" s="5"/>
      <c r="D114" s="4"/>
      <c r="E114" s="4"/>
      <c r="F114" s="4"/>
      <c r="G114" s="4"/>
      <c r="H114" s="4"/>
      <c r="I114" s="4"/>
    </row>
    <row r="115" spans="1:9" s="40" customFormat="1" ht="18" customHeight="1">
      <c r="A115" s="2"/>
      <c r="B115" s="2"/>
      <c r="C115" s="5"/>
      <c r="D115" s="4"/>
      <c r="E115" s="4"/>
      <c r="F115" s="4"/>
      <c r="G115" s="4"/>
      <c r="H115" s="4"/>
      <c r="I115" s="4"/>
    </row>
    <row r="116" spans="1:9" s="40" customFormat="1" ht="18" customHeight="1">
      <c r="A116" s="2"/>
      <c r="B116" s="2" t="s">
        <v>82</v>
      </c>
      <c r="C116" s="5"/>
      <c r="D116" s="4" t="s">
        <v>83</v>
      </c>
      <c r="E116" s="4"/>
      <c r="F116" s="4"/>
      <c r="G116" s="4"/>
      <c r="H116" s="4"/>
      <c r="I116" s="4"/>
    </row>
    <row r="117" spans="1:9" s="40" customFormat="1" ht="18" customHeight="1">
      <c r="A117" s="2"/>
      <c r="B117" s="2" t="s">
        <v>84</v>
      </c>
      <c r="C117" s="35" t="s">
        <v>85</v>
      </c>
      <c r="D117" s="4"/>
      <c r="E117" s="4"/>
      <c r="F117" s="4"/>
      <c r="G117" s="4"/>
      <c r="H117" s="4"/>
      <c r="I117" s="4"/>
    </row>
    <row r="118" spans="1:9" s="40" customFormat="1" ht="18" customHeight="1">
      <c r="A118" s="2"/>
      <c r="B118" s="2"/>
      <c r="C118" s="5"/>
      <c r="D118" s="4"/>
      <c r="E118" s="4"/>
      <c r="F118" s="4"/>
      <c r="G118" s="4"/>
      <c r="H118" s="4"/>
      <c r="I118" s="4"/>
    </row>
  </sheetData>
  <mergeCells count="6">
    <mergeCell ref="B68:C68"/>
    <mergeCell ref="B1:E1"/>
    <mergeCell ref="B2:E2"/>
    <mergeCell ref="B6:E6"/>
    <mergeCell ref="B63:E63"/>
    <mergeCell ref="B64:E64"/>
  </mergeCells>
  <printOptions horizontalCentered="1"/>
  <pageMargins left="0" right="0" top="0.19685039370078741" bottom="0.39370078740157483" header="0.51181102362204722" footer="0.51181102362204722"/>
  <pageSetup paperSize="9" scale="77" fitToWidth="2" fitToHeight="2" orientation="portrait" r:id="rId1"/>
  <headerFooter alignWithMargins="0"/>
  <rowBreaks count="2" manualBreakCount="2">
    <brk id="54" max="65535" man="1"/>
    <brk id="55" max="655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J5" sqref="J5"/>
    </sheetView>
  </sheetViews>
  <sheetFormatPr defaultColWidth="9.109375" defaultRowHeight="13.2"/>
  <cols>
    <col min="1" max="1" width="35.6640625" style="45" customWidth="1"/>
    <col min="2" max="16384" width="9.109375" style="45"/>
  </cols>
  <sheetData>
    <row r="1" spans="1:3">
      <c r="B1" s="45" t="s">
        <v>97</v>
      </c>
      <c r="C1" s="45" t="s">
        <v>105</v>
      </c>
    </row>
    <row r="2" spans="1:3">
      <c r="A2" s="45" t="s">
        <v>99</v>
      </c>
      <c r="B2" s="47">
        <f>ROUND((C2/$C$8)*100,2)+0.01</f>
        <v>58.36</v>
      </c>
      <c r="C2" s="46">
        <v>131455</v>
      </c>
    </row>
    <row r="3" spans="1:3">
      <c r="A3" s="45" t="s">
        <v>100</v>
      </c>
      <c r="B3" s="47">
        <f t="shared" ref="B3:B7" si="0">ROUND((C3/$C$8)*100,2)</f>
        <v>7.3</v>
      </c>
      <c r="C3" s="46">
        <v>16450</v>
      </c>
    </row>
    <row r="4" spans="1:3">
      <c r="A4" s="45" t="s">
        <v>101</v>
      </c>
      <c r="B4" s="47">
        <f t="shared" si="0"/>
        <v>6.86</v>
      </c>
      <c r="C4" s="46">
        <v>15461</v>
      </c>
    </row>
    <row r="5" spans="1:3">
      <c r="A5" s="45" t="s">
        <v>102</v>
      </c>
      <c r="B5" s="47">
        <f t="shared" si="0"/>
        <v>2.87</v>
      </c>
      <c r="C5" s="46">
        <v>6465</v>
      </c>
    </row>
    <row r="6" spans="1:3">
      <c r="A6" s="45" t="s">
        <v>103</v>
      </c>
      <c r="B6" s="47">
        <f t="shared" si="0"/>
        <v>21.38</v>
      </c>
      <c r="C6" s="48">
        <f>C8-C2-C3-C4-C5-C7</f>
        <v>48156</v>
      </c>
    </row>
    <row r="7" spans="1:3">
      <c r="A7" s="45" t="s">
        <v>104</v>
      </c>
      <c r="B7" s="47">
        <f t="shared" si="0"/>
        <v>3.23</v>
      </c>
      <c r="C7" s="46">
        <v>7286</v>
      </c>
    </row>
    <row r="8" spans="1:3">
      <c r="A8" s="45" t="s">
        <v>106</v>
      </c>
      <c r="B8" s="47">
        <f>SUM(B2:B7)</f>
        <v>100</v>
      </c>
      <c r="C8" s="46">
        <v>225273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8"/>
  <sheetViews>
    <sheetView showGridLines="0" topLeftCell="A79" zoomScale="75" zoomScaleNormal="75" workbookViewId="0">
      <selection activeCell="L97" sqref="L97:L99"/>
    </sheetView>
  </sheetViews>
  <sheetFormatPr defaultRowHeight="13.2"/>
  <cols>
    <col min="1" max="1" width="3.44140625" customWidth="1"/>
    <col min="2" max="2" width="6.5546875" customWidth="1"/>
    <col min="3" max="3" width="52.6640625" style="41" bestFit="1" customWidth="1"/>
    <col min="4" max="5" width="13.44140625" style="40" customWidth="1"/>
    <col min="6" max="6" width="0" hidden="1" customWidth="1"/>
    <col min="7" max="7" width="11.33203125" hidden="1" customWidth="1"/>
    <col min="8" max="8" width="0" hidden="1" customWidth="1"/>
    <col min="9" max="9" width="12.109375" hidden="1" customWidth="1"/>
    <col min="10" max="10" width="0" hidden="1" customWidth="1"/>
    <col min="11" max="12" width="13.44140625" style="40" customWidth="1"/>
    <col min="253" max="253" width="3.44140625" customWidth="1"/>
    <col min="254" max="254" width="6.5546875" customWidth="1"/>
    <col min="255" max="255" width="52.6640625" bestFit="1" customWidth="1"/>
    <col min="256" max="261" width="13.44140625" customWidth="1"/>
    <col min="262" max="266" width="0" hidden="1" customWidth="1"/>
    <col min="509" max="509" width="3.44140625" customWidth="1"/>
    <col min="510" max="510" width="6.5546875" customWidth="1"/>
    <col min="511" max="511" width="52.6640625" bestFit="1" customWidth="1"/>
    <col min="512" max="517" width="13.44140625" customWidth="1"/>
    <col min="518" max="522" width="0" hidden="1" customWidth="1"/>
    <col min="765" max="765" width="3.44140625" customWidth="1"/>
    <col min="766" max="766" width="6.5546875" customWidth="1"/>
    <col min="767" max="767" width="52.6640625" bestFit="1" customWidth="1"/>
    <col min="768" max="773" width="13.44140625" customWidth="1"/>
    <col min="774" max="778" width="0" hidden="1" customWidth="1"/>
    <col min="1021" max="1021" width="3.44140625" customWidth="1"/>
    <col min="1022" max="1022" width="6.5546875" customWidth="1"/>
    <col min="1023" max="1023" width="52.6640625" bestFit="1" customWidth="1"/>
    <col min="1024" max="1029" width="13.44140625" customWidth="1"/>
    <col min="1030" max="1034" width="0" hidden="1" customWidth="1"/>
    <col min="1277" max="1277" width="3.44140625" customWidth="1"/>
    <col min="1278" max="1278" width="6.5546875" customWidth="1"/>
    <col min="1279" max="1279" width="52.6640625" bestFit="1" customWidth="1"/>
    <col min="1280" max="1285" width="13.44140625" customWidth="1"/>
    <col min="1286" max="1290" width="0" hidden="1" customWidth="1"/>
    <col min="1533" max="1533" width="3.44140625" customWidth="1"/>
    <col min="1534" max="1534" width="6.5546875" customWidth="1"/>
    <col min="1535" max="1535" width="52.6640625" bestFit="1" customWidth="1"/>
    <col min="1536" max="1541" width="13.44140625" customWidth="1"/>
    <col min="1542" max="1546" width="0" hidden="1" customWidth="1"/>
    <col min="1789" max="1789" width="3.44140625" customWidth="1"/>
    <col min="1790" max="1790" width="6.5546875" customWidth="1"/>
    <col min="1791" max="1791" width="52.6640625" bestFit="1" customWidth="1"/>
    <col min="1792" max="1797" width="13.44140625" customWidth="1"/>
    <col min="1798" max="1802" width="0" hidden="1" customWidth="1"/>
    <col min="2045" max="2045" width="3.44140625" customWidth="1"/>
    <col min="2046" max="2046" width="6.5546875" customWidth="1"/>
    <col min="2047" max="2047" width="52.6640625" bestFit="1" customWidth="1"/>
    <col min="2048" max="2053" width="13.44140625" customWidth="1"/>
    <col min="2054" max="2058" width="0" hidden="1" customWidth="1"/>
    <col min="2301" max="2301" width="3.44140625" customWidth="1"/>
    <col min="2302" max="2302" width="6.5546875" customWidth="1"/>
    <col min="2303" max="2303" width="52.6640625" bestFit="1" customWidth="1"/>
    <col min="2304" max="2309" width="13.44140625" customWidth="1"/>
    <col min="2310" max="2314" width="0" hidden="1" customWidth="1"/>
    <col min="2557" max="2557" width="3.44140625" customWidth="1"/>
    <col min="2558" max="2558" width="6.5546875" customWidth="1"/>
    <col min="2559" max="2559" width="52.6640625" bestFit="1" customWidth="1"/>
    <col min="2560" max="2565" width="13.44140625" customWidth="1"/>
    <col min="2566" max="2570" width="0" hidden="1" customWidth="1"/>
    <col min="2813" max="2813" width="3.44140625" customWidth="1"/>
    <col min="2814" max="2814" width="6.5546875" customWidth="1"/>
    <col min="2815" max="2815" width="52.6640625" bestFit="1" customWidth="1"/>
    <col min="2816" max="2821" width="13.44140625" customWidth="1"/>
    <col min="2822" max="2826" width="0" hidden="1" customWidth="1"/>
    <col min="3069" max="3069" width="3.44140625" customWidth="1"/>
    <col min="3070" max="3070" width="6.5546875" customWidth="1"/>
    <col min="3071" max="3071" width="52.6640625" bestFit="1" customWidth="1"/>
    <col min="3072" max="3077" width="13.44140625" customWidth="1"/>
    <col min="3078" max="3082" width="0" hidden="1" customWidth="1"/>
    <col min="3325" max="3325" width="3.44140625" customWidth="1"/>
    <col min="3326" max="3326" width="6.5546875" customWidth="1"/>
    <col min="3327" max="3327" width="52.6640625" bestFit="1" customWidth="1"/>
    <col min="3328" max="3333" width="13.44140625" customWidth="1"/>
    <col min="3334" max="3338" width="0" hidden="1" customWidth="1"/>
    <col min="3581" max="3581" width="3.44140625" customWidth="1"/>
    <col min="3582" max="3582" width="6.5546875" customWidth="1"/>
    <col min="3583" max="3583" width="52.6640625" bestFit="1" customWidth="1"/>
    <col min="3584" max="3589" width="13.44140625" customWidth="1"/>
    <col min="3590" max="3594" width="0" hidden="1" customWidth="1"/>
    <col min="3837" max="3837" width="3.44140625" customWidth="1"/>
    <col min="3838" max="3838" width="6.5546875" customWidth="1"/>
    <col min="3839" max="3839" width="52.6640625" bestFit="1" customWidth="1"/>
    <col min="3840" max="3845" width="13.44140625" customWidth="1"/>
    <col min="3846" max="3850" width="0" hidden="1" customWidth="1"/>
    <col min="4093" max="4093" width="3.44140625" customWidth="1"/>
    <col min="4094" max="4094" width="6.5546875" customWidth="1"/>
    <col min="4095" max="4095" width="52.6640625" bestFit="1" customWidth="1"/>
    <col min="4096" max="4101" width="13.44140625" customWidth="1"/>
    <col min="4102" max="4106" width="0" hidden="1" customWidth="1"/>
    <col min="4349" max="4349" width="3.44140625" customWidth="1"/>
    <col min="4350" max="4350" width="6.5546875" customWidth="1"/>
    <col min="4351" max="4351" width="52.6640625" bestFit="1" customWidth="1"/>
    <col min="4352" max="4357" width="13.44140625" customWidth="1"/>
    <col min="4358" max="4362" width="0" hidden="1" customWidth="1"/>
    <col min="4605" max="4605" width="3.44140625" customWidth="1"/>
    <col min="4606" max="4606" width="6.5546875" customWidth="1"/>
    <col min="4607" max="4607" width="52.6640625" bestFit="1" customWidth="1"/>
    <col min="4608" max="4613" width="13.44140625" customWidth="1"/>
    <col min="4614" max="4618" width="0" hidden="1" customWidth="1"/>
    <col min="4861" max="4861" width="3.44140625" customWidth="1"/>
    <col min="4862" max="4862" width="6.5546875" customWidth="1"/>
    <col min="4863" max="4863" width="52.6640625" bestFit="1" customWidth="1"/>
    <col min="4864" max="4869" width="13.44140625" customWidth="1"/>
    <col min="4870" max="4874" width="0" hidden="1" customWidth="1"/>
    <col min="5117" max="5117" width="3.44140625" customWidth="1"/>
    <col min="5118" max="5118" width="6.5546875" customWidth="1"/>
    <col min="5119" max="5119" width="52.6640625" bestFit="1" customWidth="1"/>
    <col min="5120" max="5125" width="13.44140625" customWidth="1"/>
    <col min="5126" max="5130" width="0" hidden="1" customWidth="1"/>
    <col min="5373" max="5373" width="3.44140625" customWidth="1"/>
    <col min="5374" max="5374" width="6.5546875" customWidth="1"/>
    <col min="5375" max="5375" width="52.6640625" bestFit="1" customWidth="1"/>
    <col min="5376" max="5381" width="13.44140625" customWidth="1"/>
    <col min="5382" max="5386" width="0" hidden="1" customWidth="1"/>
    <col min="5629" max="5629" width="3.44140625" customWidth="1"/>
    <col min="5630" max="5630" width="6.5546875" customWidth="1"/>
    <col min="5631" max="5631" width="52.6640625" bestFit="1" customWidth="1"/>
    <col min="5632" max="5637" width="13.44140625" customWidth="1"/>
    <col min="5638" max="5642" width="0" hidden="1" customWidth="1"/>
    <col min="5885" max="5885" width="3.44140625" customWidth="1"/>
    <col min="5886" max="5886" width="6.5546875" customWidth="1"/>
    <col min="5887" max="5887" width="52.6640625" bestFit="1" customWidth="1"/>
    <col min="5888" max="5893" width="13.44140625" customWidth="1"/>
    <col min="5894" max="5898" width="0" hidden="1" customWidth="1"/>
    <col min="6141" max="6141" width="3.44140625" customWidth="1"/>
    <col min="6142" max="6142" width="6.5546875" customWidth="1"/>
    <col min="6143" max="6143" width="52.6640625" bestFit="1" customWidth="1"/>
    <col min="6144" max="6149" width="13.44140625" customWidth="1"/>
    <col min="6150" max="6154" width="0" hidden="1" customWidth="1"/>
    <col min="6397" max="6397" width="3.44140625" customWidth="1"/>
    <col min="6398" max="6398" width="6.5546875" customWidth="1"/>
    <col min="6399" max="6399" width="52.6640625" bestFit="1" customWidth="1"/>
    <col min="6400" max="6405" width="13.44140625" customWidth="1"/>
    <col min="6406" max="6410" width="0" hidden="1" customWidth="1"/>
    <col min="6653" max="6653" width="3.44140625" customWidth="1"/>
    <col min="6654" max="6654" width="6.5546875" customWidth="1"/>
    <col min="6655" max="6655" width="52.6640625" bestFit="1" customWidth="1"/>
    <col min="6656" max="6661" width="13.44140625" customWidth="1"/>
    <col min="6662" max="6666" width="0" hidden="1" customWidth="1"/>
    <col min="6909" max="6909" width="3.44140625" customWidth="1"/>
    <col min="6910" max="6910" width="6.5546875" customWidth="1"/>
    <col min="6911" max="6911" width="52.6640625" bestFit="1" customWidth="1"/>
    <col min="6912" max="6917" width="13.44140625" customWidth="1"/>
    <col min="6918" max="6922" width="0" hidden="1" customWidth="1"/>
    <col min="7165" max="7165" width="3.44140625" customWidth="1"/>
    <col min="7166" max="7166" width="6.5546875" customWidth="1"/>
    <col min="7167" max="7167" width="52.6640625" bestFit="1" customWidth="1"/>
    <col min="7168" max="7173" width="13.44140625" customWidth="1"/>
    <col min="7174" max="7178" width="0" hidden="1" customWidth="1"/>
    <col min="7421" max="7421" width="3.44140625" customWidth="1"/>
    <col min="7422" max="7422" width="6.5546875" customWidth="1"/>
    <col min="7423" max="7423" width="52.6640625" bestFit="1" customWidth="1"/>
    <col min="7424" max="7429" width="13.44140625" customWidth="1"/>
    <col min="7430" max="7434" width="0" hidden="1" customWidth="1"/>
    <col min="7677" max="7677" width="3.44140625" customWidth="1"/>
    <col min="7678" max="7678" width="6.5546875" customWidth="1"/>
    <col min="7679" max="7679" width="52.6640625" bestFit="1" customWidth="1"/>
    <col min="7680" max="7685" width="13.44140625" customWidth="1"/>
    <col min="7686" max="7690" width="0" hidden="1" customWidth="1"/>
    <col min="7933" max="7933" width="3.44140625" customWidth="1"/>
    <col min="7934" max="7934" width="6.5546875" customWidth="1"/>
    <col min="7935" max="7935" width="52.6640625" bestFit="1" customWidth="1"/>
    <col min="7936" max="7941" width="13.44140625" customWidth="1"/>
    <col min="7942" max="7946" width="0" hidden="1" customWidth="1"/>
    <col min="8189" max="8189" width="3.44140625" customWidth="1"/>
    <col min="8190" max="8190" width="6.5546875" customWidth="1"/>
    <col min="8191" max="8191" width="52.6640625" bestFit="1" customWidth="1"/>
    <col min="8192" max="8197" width="13.44140625" customWidth="1"/>
    <col min="8198" max="8202" width="0" hidden="1" customWidth="1"/>
    <col min="8445" max="8445" width="3.44140625" customWidth="1"/>
    <col min="8446" max="8446" width="6.5546875" customWidth="1"/>
    <col min="8447" max="8447" width="52.6640625" bestFit="1" customWidth="1"/>
    <col min="8448" max="8453" width="13.44140625" customWidth="1"/>
    <col min="8454" max="8458" width="0" hidden="1" customWidth="1"/>
    <col min="8701" max="8701" width="3.44140625" customWidth="1"/>
    <col min="8702" max="8702" width="6.5546875" customWidth="1"/>
    <col min="8703" max="8703" width="52.6640625" bestFit="1" customWidth="1"/>
    <col min="8704" max="8709" width="13.44140625" customWidth="1"/>
    <col min="8710" max="8714" width="0" hidden="1" customWidth="1"/>
    <col min="8957" max="8957" width="3.44140625" customWidth="1"/>
    <col min="8958" max="8958" width="6.5546875" customWidth="1"/>
    <col min="8959" max="8959" width="52.6640625" bestFit="1" customWidth="1"/>
    <col min="8960" max="8965" width="13.44140625" customWidth="1"/>
    <col min="8966" max="8970" width="0" hidden="1" customWidth="1"/>
    <col min="9213" max="9213" width="3.44140625" customWidth="1"/>
    <col min="9214" max="9214" width="6.5546875" customWidth="1"/>
    <col min="9215" max="9215" width="52.6640625" bestFit="1" customWidth="1"/>
    <col min="9216" max="9221" width="13.44140625" customWidth="1"/>
    <col min="9222" max="9226" width="0" hidden="1" customWidth="1"/>
    <col min="9469" max="9469" width="3.44140625" customWidth="1"/>
    <col min="9470" max="9470" width="6.5546875" customWidth="1"/>
    <col min="9471" max="9471" width="52.6640625" bestFit="1" customWidth="1"/>
    <col min="9472" max="9477" width="13.44140625" customWidth="1"/>
    <col min="9478" max="9482" width="0" hidden="1" customWidth="1"/>
    <col min="9725" max="9725" width="3.44140625" customWidth="1"/>
    <col min="9726" max="9726" width="6.5546875" customWidth="1"/>
    <col min="9727" max="9727" width="52.6640625" bestFit="1" customWidth="1"/>
    <col min="9728" max="9733" width="13.44140625" customWidth="1"/>
    <col min="9734" max="9738" width="0" hidden="1" customWidth="1"/>
    <col min="9981" max="9981" width="3.44140625" customWidth="1"/>
    <col min="9982" max="9982" width="6.5546875" customWidth="1"/>
    <col min="9983" max="9983" width="52.6640625" bestFit="1" customWidth="1"/>
    <col min="9984" max="9989" width="13.44140625" customWidth="1"/>
    <col min="9990" max="9994" width="0" hidden="1" customWidth="1"/>
    <col min="10237" max="10237" width="3.44140625" customWidth="1"/>
    <col min="10238" max="10238" width="6.5546875" customWidth="1"/>
    <col min="10239" max="10239" width="52.6640625" bestFit="1" customWidth="1"/>
    <col min="10240" max="10245" width="13.44140625" customWidth="1"/>
    <col min="10246" max="10250" width="0" hidden="1" customWidth="1"/>
    <col min="10493" max="10493" width="3.44140625" customWidth="1"/>
    <col min="10494" max="10494" width="6.5546875" customWidth="1"/>
    <col min="10495" max="10495" width="52.6640625" bestFit="1" customWidth="1"/>
    <col min="10496" max="10501" width="13.44140625" customWidth="1"/>
    <col min="10502" max="10506" width="0" hidden="1" customWidth="1"/>
    <col min="10749" max="10749" width="3.44140625" customWidth="1"/>
    <col min="10750" max="10750" width="6.5546875" customWidth="1"/>
    <col min="10751" max="10751" width="52.6640625" bestFit="1" customWidth="1"/>
    <col min="10752" max="10757" width="13.44140625" customWidth="1"/>
    <col min="10758" max="10762" width="0" hidden="1" customWidth="1"/>
    <col min="11005" max="11005" width="3.44140625" customWidth="1"/>
    <col min="11006" max="11006" width="6.5546875" customWidth="1"/>
    <col min="11007" max="11007" width="52.6640625" bestFit="1" customWidth="1"/>
    <col min="11008" max="11013" width="13.44140625" customWidth="1"/>
    <col min="11014" max="11018" width="0" hidden="1" customWidth="1"/>
    <col min="11261" max="11261" width="3.44140625" customWidth="1"/>
    <col min="11262" max="11262" width="6.5546875" customWidth="1"/>
    <col min="11263" max="11263" width="52.6640625" bestFit="1" customWidth="1"/>
    <col min="11264" max="11269" width="13.44140625" customWidth="1"/>
    <col min="11270" max="11274" width="0" hidden="1" customWidth="1"/>
    <col min="11517" max="11517" width="3.44140625" customWidth="1"/>
    <col min="11518" max="11518" width="6.5546875" customWidth="1"/>
    <col min="11519" max="11519" width="52.6640625" bestFit="1" customWidth="1"/>
    <col min="11520" max="11525" width="13.44140625" customWidth="1"/>
    <col min="11526" max="11530" width="0" hidden="1" customWidth="1"/>
    <col min="11773" max="11773" width="3.44140625" customWidth="1"/>
    <col min="11774" max="11774" width="6.5546875" customWidth="1"/>
    <col min="11775" max="11775" width="52.6640625" bestFit="1" customWidth="1"/>
    <col min="11776" max="11781" width="13.44140625" customWidth="1"/>
    <col min="11782" max="11786" width="0" hidden="1" customWidth="1"/>
    <col min="12029" max="12029" width="3.44140625" customWidth="1"/>
    <col min="12030" max="12030" width="6.5546875" customWidth="1"/>
    <col min="12031" max="12031" width="52.6640625" bestFit="1" customWidth="1"/>
    <col min="12032" max="12037" width="13.44140625" customWidth="1"/>
    <col min="12038" max="12042" width="0" hidden="1" customWidth="1"/>
    <col min="12285" max="12285" width="3.44140625" customWidth="1"/>
    <col min="12286" max="12286" width="6.5546875" customWidth="1"/>
    <col min="12287" max="12287" width="52.6640625" bestFit="1" customWidth="1"/>
    <col min="12288" max="12293" width="13.44140625" customWidth="1"/>
    <col min="12294" max="12298" width="0" hidden="1" customWidth="1"/>
    <col min="12541" max="12541" width="3.44140625" customWidth="1"/>
    <col min="12542" max="12542" width="6.5546875" customWidth="1"/>
    <col min="12543" max="12543" width="52.6640625" bestFit="1" customWidth="1"/>
    <col min="12544" max="12549" width="13.44140625" customWidth="1"/>
    <col min="12550" max="12554" width="0" hidden="1" customWidth="1"/>
    <col min="12797" max="12797" width="3.44140625" customWidth="1"/>
    <col min="12798" max="12798" width="6.5546875" customWidth="1"/>
    <col min="12799" max="12799" width="52.6640625" bestFit="1" customWidth="1"/>
    <col min="12800" max="12805" width="13.44140625" customWidth="1"/>
    <col min="12806" max="12810" width="0" hidden="1" customWidth="1"/>
    <col min="13053" max="13053" width="3.44140625" customWidth="1"/>
    <col min="13054" max="13054" width="6.5546875" customWidth="1"/>
    <col min="13055" max="13055" width="52.6640625" bestFit="1" customWidth="1"/>
    <col min="13056" max="13061" width="13.44140625" customWidth="1"/>
    <col min="13062" max="13066" width="0" hidden="1" customWidth="1"/>
    <col min="13309" max="13309" width="3.44140625" customWidth="1"/>
    <col min="13310" max="13310" width="6.5546875" customWidth="1"/>
    <col min="13311" max="13311" width="52.6640625" bestFit="1" customWidth="1"/>
    <col min="13312" max="13317" width="13.44140625" customWidth="1"/>
    <col min="13318" max="13322" width="0" hidden="1" customWidth="1"/>
    <col min="13565" max="13565" width="3.44140625" customWidth="1"/>
    <col min="13566" max="13566" width="6.5546875" customWidth="1"/>
    <col min="13567" max="13567" width="52.6640625" bestFit="1" customWidth="1"/>
    <col min="13568" max="13573" width="13.44140625" customWidth="1"/>
    <col min="13574" max="13578" width="0" hidden="1" customWidth="1"/>
    <col min="13821" max="13821" width="3.44140625" customWidth="1"/>
    <col min="13822" max="13822" width="6.5546875" customWidth="1"/>
    <col min="13823" max="13823" width="52.6640625" bestFit="1" customWidth="1"/>
    <col min="13824" max="13829" width="13.44140625" customWidth="1"/>
    <col min="13830" max="13834" width="0" hidden="1" customWidth="1"/>
    <col min="14077" max="14077" width="3.44140625" customWidth="1"/>
    <col min="14078" max="14078" width="6.5546875" customWidth="1"/>
    <col min="14079" max="14079" width="52.6640625" bestFit="1" customWidth="1"/>
    <col min="14080" max="14085" width="13.44140625" customWidth="1"/>
    <col min="14086" max="14090" width="0" hidden="1" customWidth="1"/>
    <col min="14333" max="14333" width="3.44140625" customWidth="1"/>
    <col min="14334" max="14334" width="6.5546875" customWidth="1"/>
    <col min="14335" max="14335" width="52.6640625" bestFit="1" customWidth="1"/>
    <col min="14336" max="14341" width="13.44140625" customWidth="1"/>
    <col min="14342" max="14346" width="0" hidden="1" customWidth="1"/>
    <col min="14589" max="14589" width="3.44140625" customWidth="1"/>
    <col min="14590" max="14590" width="6.5546875" customWidth="1"/>
    <col min="14591" max="14591" width="52.6640625" bestFit="1" customWidth="1"/>
    <col min="14592" max="14597" width="13.44140625" customWidth="1"/>
    <col min="14598" max="14602" width="0" hidden="1" customWidth="1"/>
    <col min="14845" max="14845" width="3.44140625" customWidth="1"/>
    <col min="14846" max="14846" width="6.5546875" customWidth="1"/>
    <col min="14847" max="14847" width="52.6640625" bestFit="1" customWidth="1"/>
    <col min="14848" max="14853" width="13.44140625" customWidth="1"/>
    <col min="14854" max="14858" width="0" hidden="1" customWidth="1"/>
    <col min="15101" max="15101" width="3.44140625" customWidth="1"/>
    <col min="15102" max="15102" width="6.5546875" customWidth="1"/>
    <col min="15103" max="15103" width="52.6640625" bestFit="1" customWidth="1"/>
    <col min="15104" max="15109" width="13.44140625" customWidth="1"/>
    <col min="15110" max="15114" width="0" hidden="1" customWidth="1"/>
    <col min="15357" max="15357" width="3.44140625" customWidth="1"/>
    <col min="15358" max="15358" width="6.5546875" customWidth="1"/>
    <col min="15359" max="15359" width="52.6640625" bestFit="1" customWidth="1"/>
    <col min="15360" max="15365" width="13.44140625" customWidth="1"/>
    <col min="15366" max="15370" width="0" hidden="1" customWidth="1"/>
    <col min="15613" max="15613" width="3.44140625" customWidth="1"/>
    <col min="15614" max="15614" width="6.5546875" customWidth="1"/>
    <col min="15615" max="15615" width="52.6640625" bestFit="1" customWidth="1"/>
    <col min="15616" max="15621" width="13.44140625" customWidth="1"/>
    <col min="15622" max="15626" width="0" hidden="1" customWidth="1"/>
    <col min="15869" max="15869" width="3.44140625" customWidth="1"/>
    <col min="15870" max="15870" width="6.5546875" customWidth="1"/>
    <col min="15871" max="15871" width="52.6640625" bestFit="1" customWidth="1"/>
    <col min="15872" max="15877" width="13.44140625" customWidth="1"/>
    <col min="15878" max="15882" width="0" hidden="1" customWidth="1"/>
    <col min="16125" max="16125" width="3.44140625" customWidth="1"/>
    <col min="16126" max="16126" width="6.5546875" customWidth="1"/>
    <col min="16127" max="16127" width="52.6640625" bestFit="1" customWidth="1"/>
    <col min="16128" max="16133" width="13.44140625" customWidth="1"/>
    <col min="16134" max="16138" width="0" hidden="1" customWidth="1"/>
  </cols>
  <sheetData>
    <row r="1" spans="1:12" ht="21">
      <c r="A1" s="1"/>
      <c r="B1" s="57" t="s">
        <v>0</v>
      </c>
      <c r="C1" s="57"/>
      <c r="D1" s="57"/>
      <c r="E1" s="57"/>
      <c r="K1" s="49"/>
      <c r="L1" s="49"/>
    </row>
    <row r="2" spans="1:12" ht="16.5" customHeight="1">
      <c r="A2" s="1"/>
      <c r="B2" s="58" t="s">
        <v>108</v>
      </c>
      <c r="C2" s="58"/>
      <c r="D2" s="58"/>
      <c r="E2" s="58"/>
      <c r="K2" s="50"/>
      <c r="L2" s="50"/>
    </row>
    <row r="3" spans="1:12" ht="18" customHeight="1">
      <c r="A3" s="2"/>
      <c r="B3" s="2"/>
      <c r="C3" s="3"/>
      <c r="D3" s="4"/>
      <c r="E3" s="4"/>
      <c r="K3" s="4"/>
      <c r="L3" s="4"/>
    </row>
    <row r="4" spans="1:12" ht="18" customHeight="1">
      <c r="A4" s="2"/>
      <c r="B4" s="2"/>
      <c r="C4" s="5"/>
      <c r="D4" s="4"/>
      <c r="E4" s="4"/>
      <c r="K4" s="4"/>
      <c r="L4" s="4"/>
    </row>
    <row r="5" spans="1:12" ht="18" customHeight="1">
      <c r="A5" s="2"/>
      <c r="B5" s="2"/>
      <c r="C5" s="6" t="s">
        <v>2</v>
      </c>
      <c r="D5" s="4"/>
      <c r="E5" s="4"/>
      <c r="K5" s="4"/>
      <c r="L5" s="4"/>
    </row>
    <row r="6" spans="1:12" ht="59.25" customHeight="1" thickBot="1">
      <c r="A6" s="2"/>
      <c r="B6" s="59"/>
      <c r="C6" s="59"/>
      <c r="D6"/>
      <c r="E6"/>
      <c r="K6" s="51" t="s">
        <v>97</v>
      </c>
      <c r="L6" s="51" t="s">
        <v>98</v>
      </c>
    </row>
    <row r="7" spans="1:12" ht="18" customHeight="1">
      <c r="A7" s="2"/>
      <c r="B7" s="7" t="s">
        <v>5</v>
      </c>
      <c r="C7" s="8" t="s">
        <v>6</v>
      </c>
      <c r="D7" s="9"/>
      <c r="E7" s="61">
        <f>SUM(E8:E11)</f>
        <v>9300</v>
      </c>
      <c r="K7" s="10">
        <f>ROUND((E7/$E$40),4)*100</f>
        <v>6.64</v>
      </c>
      <c r="L7" s="10">
        <f>ROUND(($E$44*K7),4)/100</f>
        <v>3.1530930000000001</v>
      </c>
    </row>
    <row r="8" spans="1:12" ht="18" customHeight="1">
      <c r="A8" s="2"/>
      <c r="B8" s="11" t="s">
        <v>7</v>
      </c>
      <c r="C8" s="12" t="s">
        <v>8</v>
      </c>
      <c r="D8" s="13"/>
      <c r="E8" s="62">
        <v>200</v>
      </c>
      <c r="K8" s="13">
        <f t="shared" ref="K8:K39" si="0">ROUND((E8/$E$40),4)*100</f>
        <v>0.13999999999999999</v>
      </c>
      <c r="L8" s="13">
        <f>ROUND(($E$44*K8),4)/100</f>
        <v>6.6480999999999998E-2</v>
      </c>
    </row>
    <row r="9" spans="1:12" ht="18" customHeight="1">
      <c r="A9" s="2"/>
      <c r="B9" s="11" t="s">
        <v>9</v>
      </c>
      <c r="C9" s="12" t="s">
        <v>10</v>
      </c>
      <c r="D9" s="13"/>
      <c r="E9" s="62"/>
      <c r="K9" s="13">
        <f t="shared" si="0"/>
        <v>0</v>
      </c>
      <c r="L9" s="13">
        <f t="shared" ref="L9:L40" si="1">ROUND(($E$44*K9),4)/100</f>
        <v>0</v>
      </c>
    </row>
    <row r="10" spans="1:12" ht="18" customHeight="1">
      <c r="A10" s="2"/>
      <c r="B10" s="11" t="s">
        <v>11</v>
      </c>
      <c r="C10" s="12" t="s">
        <v>12</v>
      </c>
      <c r="D10" s="13"/>
      <c r="E10" s="62">
        <v>8000</v>
      </c>
      <c r="K10" s="13">
        <f t="shared" si="0"/>
        <v>5.71</v>
      </c>
      <c r="L10" s="13">
        <f t="shared" si="1"/>
        <v>2.7114699999999998</v>
      </c>
    </row>
    <row r="11" spans="1:12" ht="18" customHeight="1">
      <c r="A11" s="2"/>
      <c r="B11" s="11" t="s">
        <v>13</v>
      </c>
      <c r="C11" s="12" t="s">
        <v>14</v>
      </c>
      <c r="D11" s="13"/>
      <c r="E11" s="62">
        <v>1100</v>
      </c>
      <c r="K11" s="13">
        <f t="shared" si="0"/>
        <v>0.79</v>
      </c>
      <c r="L11" s="13">
        <f t="shared" si="1"/>
        <v>0.37514200000000003</v>
      </c>
    </row>
    <row r="12" spans="1:12" ht="18" customHeight="1">
      <c r="A12" s="2"/>
      <c r="B12" s="14" t="s">
        <v>15</v>
      </c>
      <c r="C12" s="12" t="s">
        <v>16</v>
      </c>
      <c r="D12" s="15">
        <v>16600</v>
      </c>
      <c r="E12" s="63">
        <v>1600</v>
      </c>
      <c r="K12" s="16">
        <f t="shared" si="0"/>
        <v>1.1400000000000001</v>
      </c>
      <c r="L12" s="16">
        <f t="shared" si="1"/>
        <v>0.54134400000000005</v>
      </c>
    </row>
    <row r="13" spans="1:12" ht="18" customHeight="1">
      <c r="A13" s="2"/>
      <c r="B13" s="14" t="s">
        <v>17</v>
      </c>
      <c r="C13" s="12" t="s">
        <v>18</v>
      </c>
      <c r="D13" s="13"/>
      <c r="E13" s="63">
        <f>28944.7-500</f>
        <v>28444.7</v>
      </c>
      <c r="K13" s="16">
        <f t="shared" si="0"/>
        <v>20.309999999999999</v>
      </c>
      <c r="L13" s="16">
        <f t="shared" si="1"/>
        <v>9.6444749999999999</v>
      </c>
    </row>
    <row r="14" spans="1:12" ht="18" customHeight="1">
      <c r="A14" s="2"/>
      <c r="B14" s="14" t="s">
        <v>19</v>
      </c>
      <c r="C14" s="12" t="s">
        <v>20</v>
      </c>
      <c r="D14" s="13"/>
      <c r="E14" s="64">
        <f>SUM(E15:E17)</f>
        <v>49894</v>
      </c>
      <c r="K14" s="17">
        <f t="shared" si="0"/>
        <v>35.620000000000005</v>
      </c>
      <c r="L14" s="17">
        <f t="shared" si="1"/>
        <v>16.914634</v>
      </c>
    </row>
    <row r="15" spans="1:12" ht="18" customHeight="1">
      <c r="A15" s="2"/>
      <c r="B15" s="11" t="s">
        <v>7</v>
      </c>
      <c r="C15" s="12" t="s">
        <v>21</v>
      </c>
      <c r="D15" s="13"/>
      <c r="E15" s="62">
        <v>9500</v>
      </c>
      <c r="K15" s="13">
        <f t="shared" si="0"/>
        <v>6.78</v>
      </c>
      <c r="L15" s="13">
        <f t="shared" si="1"/>
        <v>3.2195740000000002</v>
      </c>
    </row>
    <row r="16" spans="1:12" ht="18" customHeight="1">
      <c r="A16" s="2"/>
      <c r="B16" s="11" t="s">
        <v>9</v>
      </c>
      <c r="C16" s="12" t="s">
        <v>22</v>
      </c>
      <c r="D16" s="13"/>
      <c r="E16" s="65">
        <f>D12+D26+D31+D33+D24</f>
        <v>29394</v>
      </c>
      <c r="K16" s="18">
        <f t="shared" si="0"/>
        <v>20.979999999999997</v>
      </c>
      <c r="L16" s="18">
        <f t="shared" si="1"/>
        <v>9.9626340000000013</v>
      </c>
    </row>
    <row r="17" spans="1:12" ht="18" customHeight="1">
      <c r="A17" s="2"/>
      <c r="B17" s="11" t="s">
        <v>11</v>
      </c>
      <c r="C17" s="12" t="s">
        <v>23</v>
      </c>
      <c r="D17" s="13"/>
      <c r="E17" s="62">
        <v>11000</v>
      </c>
      <c r="K17" s="13">
        <f t="shared" si="0"/>
        <v>7.85</v>
      </c>
      <c r="L17" s="13">
        <f t="shared" si="1"/>
        <v>3.727678</v>
      </c>
    </row>
    <row r="18" spans="1:12" ht="18" customHeight="1">
      <c r="A18" s="2"/>
      <c r="B18" s="14" t="s">
        <v>24</v>
      </c>
      <c r="C18" s="12" t="s">
        <v>25</v>
      </c>
      <c r="D18" s="13"/>
      <c r="E18" s="64">
        <f>SUM(E19:E33)</f>
        <v>25056</v>
      </c>
      <c r="K18" s="17">
        <f t="shared" si="0"/>
        <v>17.89</v>
      </c>
      <c r="L18" s="17">
        <f t="shared" si="1"/>
        <v>8.4953060000000011</v>
      </c>
    </row>
    <row r="19" spans="1:12" ht="18" customHeight="1">
      <c r="A19" s="2"/>
      <c r="B19" s="11" t="s">
        <v>7</v>
      </c>
      <c r="C19" s="12" t="s">
        <v>26</v>
      </c>
      <c r="D19" s="13"/>
      <c r="E19" s="62">
        <v>80</v>
      </c>
      <c r="K19" s="13">
        <f t="shared" si="0"/>
        <v>0.06</v>
      </c>
      <c r="L19" s="13">
        <f t="shared" si="1"/>
        <v>2.8492000000000003E-2</v>
      </c>
    </row>
    <row r="20" spans="1:12" ht="18" customHeight="1">
      <c r="A20" s="2"/>
      <c r="B20" s="11" t="s">
        <v>9</v>
      </c>
      <c r="C20" s="12" t="s">
        <v>27</v>
      </c>
      <c r="D20" s="13"/>
      <c r="E20" s="62">
        <v>80</v>
      </c>
      <c r="K20" s="13">
        <f t="shared" si="0"/>
        <v>0.06</v>
      </c>
      <c r="L20" s="13">
        <f t="shared" si="1"/>
        <v>2.8492000000000003E-2</v>
      </c>
    </row>
    <row r="21" spans="1:12" ht="18" customHeight="1">
      <c r="A21" s="2"/>
      <c r="B21" s="11" t="s">
        <v>11</v>
      </c>
      <c r="C21" s="12" t="s">
        <v>28</v>
      </c>
      <c r="D21" s="13"/>
      <c r="E21" s="62">
        <v>11400</v>
      </c>
      <c r="K21" s="13">
        <f t="shared" si="0"/>
        <v>8.14</v>
      </c>
      <c r="L21" s="13">
        <f t="shared" si="1"/>
        <v>3.8653879999999998</v>
      </c>
    </row>
    <row r="22" spans="1:12" ht="18" customHeight="1">
      <c r="A22" s="2"/>
      <c r="B22" s="11" t="s">
        <v>13</v>
      </c>
      <c r="C22" s="12" t="s">
        <v>29</v>
      </c>
      <c r="D22" s="13"/>
      <c r="E22" s="62">
        <v>180</v>
      </c>
      <c r="K22" s="13">
        <f t="shared" si="0"/>
        <v>0.13</v>
      </c>
      <c r="L22" s="13">
        <f t="shared" si="1"/>
        <v>6.1731999999999995E-2</v>
      </c>
    </row>
    <row r="23" spans="1:12" ht="18" customHeight="1">
      <c r="A23" s="2"/>
      <c r="B23" s="11" t="s">
        <v>30</v>
      </c>
      <c r="C23" s="12" t="s">
        <v>31</v>
      </c>
      <c r="D23" s="13"/>
      <c r="E23" s="62">
        <v>150</v>
      </c>
      <c r="K23" s="13">
        <f t="shared" si="0"/>
        <v>0.11</v>
      </c>
      <c r="L23" s="13">
        <f t="shared" si="1"/>
        <v>5.2234999999999997E-2</v>
      </c>
    </row>
    <row r="24" spans="1:12" ht="18" customHeight="1">
      <c r="A24" s="2"/>
      <c r="B24" s="11" t="s">
        <v>32</v>
      </c>
      <c r="C24" s="12" t="s">
        <v>33</v>
      </c>
      <c r="D24" s="13"/>
      <c r="E24" s="62"/>
      <c r="K24" s="13">
        <f t="shared" si="0"/>
        <v>0</v>
      </c>
      <c r="L24" s="13">
        <f t="shared" si="1"/>
        <v>0</v>
      </c>
    </row>
    <row r="25" spans="1:12" ht="18" customHeight="1">
      <c r="A25" s="2"/>
      <c r="B25" s="11" t="s">
        <v>34</v>
      </c>
      <c r="C25" s="12" t="s">
        <v>35</v>
      </c>
      <c r="D25" s="13"/>
      <c r="E25" s="62">
        <v>1000</v>
      </c>
      <c r="K25" s="13">
        <f t="shared" si="0"/>
        <v>0.71000000000000008</v>
      </c>
      <c r="L25" s="13">
        <f t="shared" si="1"/>
        <v>0.33715299999999998</v>
      </c>
    </row>
    <row r="26" spans="1:12" ht="18" customHeight="1">
      <c r="A26" s="2"/>
      <c r="B26" s="11" t="s">
        <v>36</v>
      </c>
      <c r="C26" s="12" t="s">
        <v>37</v>
      </c>
      <c r="D26" s="13">
        <v>5644</v>
      </c>
      <c r="E26" s="62">
        <v>220</v>
      </c>
      <c r="K26" s="13">
        <f t="shared" si="0"/>
        <v>0.16</v>
      </c>
      <c r="L26" s="13">
        <f t="shared" si="1"/>
        <v>7.5978000000000004E-2</v>
      </c>
    </row>
    <row r="27" spans="1:12" ht="18" customHeight="1">
      <c r="A27" s="2"/>
      <c r="B27" s="11" t="s">
        <v>38</v>
      </c>
      <c r="C27" s="12" t="s">
        <v>39</v>
      </c>
      <c r="D27" s="13"/>
      <c r="E27" s="62">
        <v>130</v>
      </c>
      <c r="K27" s="13">
        <f t="shared" si="0"/>
        <v>0.09</v>
      </c>
      <c r="L27" s="13">
        <f t="shared" si="1"/>
        <v>4.2737999999999998E-2</v>
      </c>
    </row>
    <row r="28" spans="1:12" ht="18" customHeight="1">
      <c r="A28" s="2"/>
      <c r="B28" s="11" t="s">
        <v>40</v>
      </c>
      <c r="C28" s="12" t="s">
        <v>41</v>
      </c>
      <c r="D28" s="13"/>
      <c r="E28" s="62">
        <v>2500</v>
      </c>
      <c r="K28" s="13">
        <f t="shared" si="0"/>
        <v>1.78</v>
      </c>
      <c r="L28" s="13">
        <f t="shared" si="1"/>
        <v>0.84525700000000004</v>
      </c>
    </row>
    <row r="29" spans="1:12" ht="18" customHeight="1">
      <c r="A29" s="2"/>
      <c r="B29" s="11" t="s">
        <v>42</v>
      </c>
      <c r="C29" s="12" t="s">
        <v>43</v>
      </c>
      <c r="D29" s="13"/>
      <c r="E29" s="62">
        <v>116</v>
      </c>
      <c r="K29" s="13">
        <f t="shared" si="0"/>
        <v>0.08</v>
      </c>
      <c r="L29" s="13">
        <f t="shared" si="1"/>
        <v>3.7989000000000002E-2</v>
      </c>
    </row>
    <row r="30" spans="1:12" ht="18" customHeight="1">
      <c r="A30" s="2"/>
      <c r="B30" s="11" t="s">
        <v>44</v>
      </c>
      <c r="C30" s="12" t="s">
        <v>45</v>
      </c>
      <c r="D30" s="13"/>
      <c r="E30" s="62">
        <v>5400</v>
      </c>
      <c r="K30" s="13">
        <f t="shared" si="0"/>
        <v>3.85</v>
      </c>
      <c r="L30" s="13">
        <f t="shared" si="1"/>
        <v>1.8282239999999998</v>
      </c>
    </row>
    <row r="31" spans="1:12" ht="18" customHeight="1">
      <c r="A31" s="2"/>
      <c r="B31" s="11" t="s">
        <v>46</v>
      </c>
      <c r="C31" s="12" t="s">
        <v>47</v>
      </c>
      <c r="D31" s="15">
        <v>2850</v>
      </c>
      <c r="E31" s="62"/>
      <c r="K31" s="13">
        <f t="shared" si="0"/>
        <v>0</v>
      </c>
      <c r="L31" s="13">
        <f t="shared" si="1"/>
        <v>0</v>
      </c>
    </row>
    <row r="32" spans="1:12" ht="18" customHeight="1">
      <c r="A32" s="2"/>
      <c r="B32" s="11" t="s">
        <v>48</v>
      </c>
      <c r="C32" s="12" t="s">
        <v>49</v>
      </c>
      <c r="D32" s="13"/>
      <c r="E32" s="62">
        <v>3800</v>
      </c>
      <c r="K32" s="13">
        <f t="shared" si="0"/>
        <v>2.71</v>
      </c>
      <c r="L32" s="13">
        <f t="shared" si="1"/>
        <v>1.2868799999999998</v>
      </c>
    </row>
    <row r="33" spans="1:12" ht="18" customHeight="1">
      <c r="A33" s="2"/>
      <c r="B33" s="11" t="s">
        <v>50</v>
      </c>
      <c r="C33" s="12" t="s">
        <v>51</v>
      </c>
      <c r="D33" s="15">
        <v>4300</v>
      </c>
      <c r="E33" s="62"/>
      <c r="K33" s="13">
        <f t="shared" si="0"/>
        <v>0</v>
      </c>
      <c r="L33" s="13">
        <f t="shared" si="1"/>
        <v>0</v>
      </c>
    </row>
    <row r="34" spans="1:12" ht="18" customHeight="1">
      <c r="A34" s="2"/>
      <c r="B34" s="14" t="s">
        <v>52</v>
      </c>
      <c r="C34" s="12" t="s">
        <v>53</v>
      </c>
      <c r="D34" s="13"/>
      <c r="E34" s="66">
        <f>SUM(E7,E12,E13,E14,E18)</f>
        <v>114294.7</v>
      </c>
      <c r="K34" s="19">
        <f t="shared" si="0"/>
        <v>81.589999999999989</v>
      </c>
      <c r="L34" s="19">
        <f t="shared" si="1"/>
        <v>38.744104</v>
      </c>
    </row>
    <row r="35" spans="1:12" ht="18" customHeight="1">
      <c r="A35" s="2"/>
      <c r="B35" s="14" t="s">
        <v>54</v>
      </c>
      <c r="C35" s="12" t="s">
        <v>55</v>
      </c>
      <c r="D35" s="13"/>
      <c r="E35" s="63">
        <v>16120</v>
      </c>
      <c r="K35" s="16">
        <f t="shared" si="0"/>
        <v>11.51</v>
      </c>
      <c r="L35" s="16">
        <f t="shared" si="1"/>
        <v>5.4656780000000005</v>
      </c>
    </row>
    <row r="36" spans="1:12" ht="18" customHeight="1">
      <c r="A36" s="2"/>
      <c r="B36" s="14" t="s">
        <v>56</v>
      </c>
      <c r="C36" s="12" t="s">
        <v>57</v>
      </c>
      <c r="D36" s="13"/>
      <c r="E36" s="63">
        <f>10600+150</f>
        <v>10750</v>
      </c>
      <c r="K36" s="16">
        <f t="shared" si="0"/>
        <v>7.6700000000000008</v>
      </c>
      <c r="L36" s="16">
        <f t="shared" si="1"/>
        <v>3.6422019999999997</v>
      </c>
    </row>
    <row r="37" spans="1:12" ht="18" customHeight="1">
      <c r="A37" s="2"/>
      <c r="B37" s="14" t="s">
        <v>58</v>
      </c>
      <c r="C37" s="12" t="s">
        <v>59</v>
      </c>
      <c r="D37" s="13"/>
      <c r="E37" s="63">
        <v>1220</v>
      </c>
      <c r="K37" s="16">
        <f t="shared" si="0"/>
        <v>0.86999999999999988</v>
      </c>
      <c r="L37" s="16">
        <f t="shared" si="1"/>
        <v>0.41313099999999997</v>
      </c>
    </row>
    <row r="38" spans="1:12" ht="18" customHeight="1">
      <c r="A38" s="2"/>
      <c r="B38" s="14" t="s">
        <v>60</v>
      </c>
      <c r="C38" s="12" t="s">
        <v>61</v>
      </c>
      <c r="D38" s="13"/>
      <c r="E38" s="66">
        <f>SUM(E34,E35,E36,E37)</f>
        <v>142384.70000000001</v>
      </c>
      <c r="K38" s="19">
        <f t="shared" si="0"/>
        <v>101.64</v>
      </c>
      <c r="L38" s="19">
        <f>ROUND(($E$44*K38),4)/100</f>
        <v>48.265114999999994</v>
      </c>
    </row>
    <row r="39" spans="1:12" ht="18" customHeight="1">
      <c r="A39" s="2"/>
      <c r="B39" s="14" t="s">
        <v>62</v>
      </c>
      <c r="C39" s="12" t="s">
        <v>63</v>
      </c>
      <c r="D39" s="13"/>
      <c r="E39" s="63">
        <v>-2300</v>
      </c>
      <c r="K39" s="16">
        <f t="shared" si="0"/>
        <v>-1.6400000000000001</v>
      </c>
      <c r="L39" s="16">
        <f t="shared" si="1"/>
        <v>-0.77877600000000002</v>
      </c>
    </row>
    <row r="40" spans="1:12" ht="18" customHeight="1">
      <c r="A40" s="2"/>
      <c r="B40" s="14" t="s">
        <v>64</v>
      </c>
      <c r="C40" s="12" t="s">
        <v>65</v>
      </c>
      <c r="D40" s="13"/>
      <c r="E40" s="66">
        <f>SUM(E38,E39)</f>
        <v>140084.70000000001</v>
      </c>
      <c r="K40" s="19">
        <f>SUM(K38:K39)</f>
        <v>100</v>
      </c>
      <c r="L40" s="19">
        <f>ROUND(($E$44*K40),4)/100</f>
        <v>47.486339000000001</v>
      </c>
    </row>
    <row r="41" spans="1:12" ht="18" customHeight="1">
      <c r="A41" s="2"/>
      <c r="B41" s="14" t="s">
        <v>66</v>
      </c>
      <c r="C41" s="12" t="s">
        <v>67</v>
      </c>
      <c r="D41" s="13"/>
      <c r="E41" s="67">
        <f>SUM(E42,E43)</f>
        <v>2950</v>
      </c>
      <c r="K41" s="20"/>
      <c r="L41" s="20"/>
    </row>
    <row r="42" spans="1:12" ht="18" customHeight="1">
      <c r="A42" s="2"/>
      <c r="B42" s="14"/>
      <c r="C42" s="12" t="s">
        <v>68</v>
      </c>
      <c r="D42" s="13"/>
      <c r="E42" s="62">
        <v>2160</v>
      </c>
      <c r="K42" s="13"/>
      <c r="L42" s="13"/>
    </row>
    <row r="43" spans="1:12" ht="18" customHeight="1">
      <c r="A43" s="2"/>
      <c r="B43" s="14"/>
      <c r="C43" s="12" t="s">
        <v>69</v>
      </c>
      <c r="D43" s="13"/>
      <c r="E43" s="62">
        <v>790</v>
      </c>
      <c r="K43" s="13"/>
      <c r="L43" s="13"/>
    </row>
    <row r="44" spans="1:12" s="25" customFormat="1" ht="18" customHeight="1">
      <c r="A44" s="21"/>
      <c r="B44" s="22" t="s">
        <v>70</v>
      </c>
      <c r="C44" s="23" t="s">
        <v>71</v>
      </c>
      <c r="D44" s="24"/>
      <c r="E44" s="68">
        <f>E40/E41</f>
        <v>47.48633898305085</v>
      </c>
      <c r="K44" s="24"/>
      <c r="L44" s="24"/>
    </row>
    <row r="45" spans="1:12" ht="18" customHeight="1">
      <c r="A45" s="2"/>
      <c r="B45" s="14" t="s">
        <v>72</v>
      </c>
      <c r="C45" s="12" t="s">
        <v>73</v>
      </c>
      <c r="D45" s="13"/>
      <c r="E45" s="69">
        <v>49.1</v>
      </c>
      <c r="K45" s="26"/>
      <c r="L45" s="26"/>
    </row>
    <row r="46" spans="1:12" ht="18" customHeight="1">
      <c r="A46" s="2"/>
      <c r="B46" s="14"/>
      <c r="C46" s="12" t="s">
        <v>74</v>
      </c>
      <c r="D46" s="13"/>
      <c r="E46" s="69">
        <v>49.1</v>
      </c>
      <c r="K46" s="26"/>
      <c r="L46" s="26"/>
    </row>
    <row r="47" spans="1:12" ht="18" customHeight="1">
      <c r="A47" s="2"/>
      <c r="B47" s="14" t="s">
        <v>75</v>
      </c>
      <c r="C47" s="12" t="s">
        <v>76</v>
      </c>
      <c r="D47" s="13"/>
      <c r="E47" s="69">
        <f>E45-E44</f>
        <v>1.6136610169491519</v>
      </c>
      <c r="K47" s="26"/>
      <c r="L47" s="26"/>
    </row>
    <row r="48" spans="1:12" ht="18" customHeight="1">
      <c r="A48" s="2"/>
      <c r="B48" s="14"/>
      <c r="C48" s="12" t="s">
        <v>77</v>
      </c>
      <c r="D48" s="13"/>
      <c r="E48" s="69">
        <f>E46-E44</f>
        <v>1.6136610169491519</v>
      </c>
      <c r="K48" s="26"/>
      <c r="L48" s="26"/>
    </row>
    <row r="49" spans="1:12" s="25" customFormat="1" ht="18" customHeight="1" thickBot="1">
      <c r="A49" s="21"/>
      <c r="B49" s="27" t="s">
        <v>78</v>
      </c>
      <c r="C49" s="28" t="s">
        <v>79</v>
      </c>
      <c r="D49" s="29"/>
      <c r="E49" s="70">
        <f>E50/E40</f>
        <v>3.3981583998823485E-2</v>
      </c>
      <c r="K49" s="30"/>
      <c r="L49" s="30"/>
    </row>
    <row r="50" spans="1:12" ht="18" customHeight="1" thickBot="1">
      <c r="A50" s="2"/>
      <c r="B50" s="31" t="s">
        <v>80</v>
      </c>
      <c r="C50" s="32" t="s">
        <v>81</v>
      </c>
      <c r="D50" s="33"/>
      <c r="E50" s="71">
        <f>((E45*E42+E46*E43)-E40)</f>
        <v>4760.2999999999884</v>
      </c>
      <c r="K50" s="34"/>
      <c r="L50" s="34"/>
    </row>
    <row r="51" spans="1:12" ht="18" customHeight="1">
      <c r="A51" s="2"/>
      <c r="B51" s="2"/>
      <c r="C51" s="5"/>
      <c r="D51" s="4"/>
      <c r="E51" s="4"/>
      <c r="K51" s="4"/>
      <c r="L51" s="4"/>
    </row>
    <row r="52" spans="1:12" ht="18" customHeight="1">
      <c r="A52" s="2"/>
      <c r="B52" s="2"/>
      <c r="C52" s="5"/>
      <c r="D52" s="4"/>
      <c r="E52" s="4"/>
      <c r="K52" s="4"/>
      <c r="L52" s="4"/>
    </row>
    <row r="53" spans="1:12" ht="18" customHeight="1">
      <c r="A53" s="2"/>
      <c r="B53" s="2" t="s">
        <v>82</v>
      </c>
      <c r="C53" s="5"/>
      <c r="D53" s="4" t="s">
        <v>83</v>
      </c>
      <c r="E53" s="4"/>
      <c r="K53" s="4"/>
      <c r="L53" s="4"/>
    </row>
    <row r="54" spans="1:12" ht="18" customHeight="1">
      <c r="A54" s="2"/>
      <c r="B54" s="2" t="s">
        <v>84</v>
      </c>
      <c r="C54" s="35" t="s">
        <v>109</v>
      </c>
      <c r="D54" s="4"/>
      <c r="E54" s="4"/>
      <c r="K54" s="4"/>
      <c r="L54" s="4"/>
    </row>
    <row r="55" spans="1:12" ht="18" customHeight="1">
      <c r="A55" s="2"/>
      <c r="B55" s="2"/>
      <c r="C55" s="35"/>
      <c r="D55" s="4"/>
      <c r="E55" s="4"/>
      <c r="K55" s="4"/>
      <c r="L55" s="4"/>
    </row>
    <row r="56" spans="1:12" ht="18" customHeight="1">
      <c r="A56" s="2"/>
      <c r="B56" s="2"/>
      <c r="C56" s="5"/>
      <c r="D56" s="4"/>
      <c r="E56" s="4"/>
      <c r="K56" s="4"/>
      <c r="L56" s="4"/>
    </row>
    <row r="57" spans="1:12">
      <c r="A57" s="36"/>
      <c r="B57" s="1"/>
      <c r="C57" s="37"/>
      <c r="D57" s="38"/>
      <c r="E57" s="38"/>
      <c r="K57" s="38"/>
      <c r="L57" s="38"/>
    </row>
    <row r="58" spans="1:12">
      <c r="A58" s="36"/>
      <c r="B58" s="1"/>
      <c r="C58" s="37"/>
      <c r="D58" s="38"/>
      <c r="E58" s="38"/>
      <c r="K58" s="38"/>
      <c r="L58" s="38"/>
    </row>
    <row r="59" spans="1:12">
      <c r="A59" s="36"/>
      <c r="B59" s="1"/>
      <c r="C59" s="37"/>
      <c r="D59" s="38"/>
      <c r="E59" s="38"/>
      <c r="K59" s="38"/>
      <c r="L59" s="38"/>
    </row>
    <row r="60" spans="1:12">
      <c r="A60" s="1"/>
      <c r="B60" s="1"/>
      <c r="C60" s="37"/>
      <c r="D60" s="38"/>
      <c r="E60" s="38"/>
      <c r="K60" s="38"/>
      <c r="L60" s="38"/>
    </row>
    <row r="61" spans="1:12">
      <c r="A61" s="1"/>
      <c r="B61" s="1"/>
      <c r="C61" s="37"/>
      <c r="D61" s="38"/>
      <c r="E61" s="38"/>
      <c r="K61" s="38"/>
      <c r="L61" s="38"/>
    </row>
    <row r="62" spans="1:12" ht="51" customHeight="1">
      <c r="A62" s="1"/>
      <c r="B62" s="1"/>
      <c r="C62" s="37"/>
      <c r="D62" s="38"/>
      <c r="E62" s="38"/>
      <c r="K62" s="38"/>
      <c r="L62" s="38"/>
    </row>
    <row r="63" spans="1:12" ht="21">
      <c r="A63" s="1"/>
      <c r="B63" s="57" t="s">
        <v>86</v>
      </c>
      <c r="C63" s="57"/>
      <c r="D63" s="57"/>
      <c r="E63" s="57"/>
      <c r="K63" s="49"/>
      <c r="L63" s="49"/>
    </row>
    <row r="64" spans="1:12" ht="15.6">
      <c r="A64" s="1"/>
      <c r="B64" s="58" t="s">
        <v>108</v>
      </c>
      <c r="C64" s="58"/>
      <c r="D64" s="58"/>
      <c r="E64" s="58"/>
      <c r="K64" s="50"/>
      <c r="L64" s="50"/>
    </row>
    <row r="65" spans="1:12" ht="13.8">
      <c r="A65" s="2"/>
      <c r="B65" s="2"/>
      <c r="C65" s="5"/>
      <c r="D65" s="4"/>
      <c r="E65" s="4"/>
      <c r="K65" s="4"/>
      <c r="L65" s="4"/>
    </row>
    <row r="66" spans="1:12" ht="18" customHeight="1">
      <c r="A66" s="2"/>
      <c r="B66" s="2"/>
      <c r="C66" s="5"/>
      <c r="D66" s="4"/>
      <c r="E66" s="4"/>
      <c r="K66" s="4"/>
      <c r="L66" s="4"/>
    </row>
    <row r="67" spans="1:12" ht="18" customHeight="1">
      <c r="A67" s="2"/>
      <c r="B67" s="2"/>
      <c r="C67" s="6" t="s">
        <v>2</v>
      </c>
      <c r="D67" s="4"/>
      <c r="E67" s="4"/>
      <c r="K67" s="4"/>
      <c r="L67" s="4"/>
    </row>
    <row r="68" spans="1:12" ht="29.25" customHeight="1" thickBot="1">
      <c r="A68" s="2"/>
      <c r="B68" s="56"/>
      <c r="C68" s="56"/>
      <c r="D68"/>
      <c r="E68"/>
      <c r="F68" s="60" t="s">
        <v>107</v>
      </c>
      <c r="G68" s="60"/>
      <c r="H68" t="s">
        <v>88</v>
      </c>
      <c r="I68" t="s">
        <v>88</v>
      </c>
      <c r="K68" s="51" t="s">
        <v>97</v>
      </c>
      <c r="L68" s="51" t="s">
        <v>98</v>
      </c>
    </row>
    <row r="69" spans="1:12" ht="18" customHeight="1">
      <c r="A69" s="2"/>
      <c r="B69" s="7" t="s">
        <v>5</v>
      </c>
      <c r="C69" s="8" t="s">
        <v>6</v>
      </c>
      <c r="D69" s="9"/>
      <c r="E69" s="61">
        <f>SUM(E70:E73)</f>
        <v>4800</v>
      </c>
      <c r="F69" s="9"/>
      <c r="G69" s="10">
        <f>SUM(G70:G73)</f>
        <v>5200</v>
      </c>
      <c r="H69" s="9"/>
      <c r="I69" s="10">
        <f>SUM(I70:I73)</f>
        <v>5850</v>
      </c>
      <c r="K69" s="10">
        <f>ROUND((E69/$E$102),4)*100</f>
        <v>3.9</v>
      </c>
      <c r="L69" s="10">
        <f>ROUND(($E$106*K69),4)/100</f>
        <v>1.8136410000000001</v>
      </c>
    </row>
    <row r="70" spans="1:12" ht="18" customHeight="1">
      <c r="A70" s="2"/>
      <c r="B70" s="11" t="s">
        <v>7</v>
      </c>
      <c r="C70" s="12" t="s">
        <v>8</v>
      </c>
      <c r="D70" s="13"/>
      <c r="E70" s="62">
        <v>2300</v>
      </c>
      <c r="F70" s="13"/>
      <c r="G70" s="13">
        <v>1700</v>
      </c>
      <c r="H70" s="13"/>
      <c r="I70" s="13">
        <v>1850</v>
      </c>
      <c r="K70" s="13">
        <f t="shared" ref="K70:K101" si="2">ROUND((E70/$E$102),4)*100</f>
        <v>1.87</v>
      </c>
      <c r="L70" s="13">
        <f t="shared" ref="L70:L102" si="3">ROUND(($E$106*K70),4)/100</f>
        <v>0.869618</v>
      </c>
    </row>
    <row r="71" spans="1:12" ht="18" customHeight="1">
      <c r="A71" s="2"/>
      <c r="B71" s="11" t="s">
        <v>9</v>
      </c>
      <c r="C71" s="12" t="s">
        <v>10</v>
      </c>
      <c r="D71" s="13"/>
      <c r="E71" s="62"/>
      <c r="F71" s="13"/>
      <c r="G71" s="13"/>
      <c r="H71" s="13"/>
      <c r="I71" s="13"/>
      <c r="K71" s="13">
        <f t="shared" si="2"/>
        <v>0</v>
      </c>
      <c r="L71" s="13">
        <f t="shared" si="3"/>
        <v>0</v>
      </c>
    </row>
    <row r="72" spans="1:12" ht="18" customHeight="1">
      <c r="A72" s="2"/>
      <c r="B72" s="11" t="s">
        <v>11</v>
      </c>
      <c r="C72" s="12" t="s">
        <v>12</v>
      </c>
      <c r="D72" s="13"/>
      <c r="E72" s="62"/>
      <c r="F72" s="13"/>
      <c r="G72" s="13"/>
      <c r="H72" s="13"/>
      <c r="I72" s="13"/>
      <c r="K72" s="13">
        <f t="shared" si="2"/>
        <v>0</v>
      </c>
      <c r="L72" s="13">
        <f t="shared" si="3"/>
        <v>0</v>
      </c>
    </row>
    <row r="73" spans="1:12" ht="18" customHeight="1">
      <c r="A73" s="2"/>
      <c r="B73" s="11" t="s">
        <v>13</v>
      </c>
      <c r="C73" s="12" t="s">
        <v>90</v>
      </c>
      <c r="D73" s="13"/>
      <c r="E73" s="62">
        <v>2500</v>
      </c>
      <c r="F73" s="13"/>
      <c r="G73" s="13">
        <v>3500</v>
      </c>
      <c r="H73" s="13"/>
      <c r="I73" s="13">
        <v>4000</v>
      </c>
      <c r="K73" s="13">
        <f t="shared" si="2"/>
        <v>2.0299999999999998</v>
      </c>
      <c r="L73" s="13">
        <f t="shared" si="3"/>
        <v>0.94402399999999997</v>
      </c>
    </row>
    <row r="74" spans="1:12" ht="18" customHeight="1">
      <c r="A74" s="2"/>
      <c r="B74" s="14" t="s">
        <v>15</v>
      </c>
      <c r="C74" s="12" t="s">
        <v>16</v>
      </c>
      <c r="D74" s="15">
        <v>10710</v>
      </c>
      <c r="E74" s="63"/>
      <c r="F74" s="15">
        <v>7150</v>
      </c>
      <c r="G74" s="16"/>
      <c r="H74" s="15">
        <v>7600</v>
      </c>
      <c r="I74" s="16"/>
      <c r="K74" s="16">
        <f t="shared" si="2"/>
        <v>0</v>
      </c>
      <c r="L74" s="16">
        <f t="shared" si="3"/>
        <v>0</v>
      </c>
    </row>
    <row r="75" spans="1:12" ht="18" customHeight="1">
      <c r="A75" s="2"/>
      <c r="B75" s="14" t="s">
        <v>17</v>
      </c>
      <c r="C75" s="12" t="s">
        <v>18</v>
      </c>
      <c r="D75" s="13"/>
      <c r="E75" s="63">
        <f>47993.6-500-6</f>
        <v>47487.6</v>
      </c>
      <c r="F75" s="13"/>
      <c r="G75" s="16">
        <f>51435+2000</f>
        <v>53435</v>
      </c>
      <c r="H75" s="13"/>
      <c r="I75" s="16">
        <f>49686-1650</f>
        <v>48036</v>
      </c>
      <c r="K75" s="16">
        <f t="shared" si="2"/>
        <v>38.53</v>
      </c>
      <c r="L75" s="16">
        <f t="shared" si="3"/>
        <v>17.917846000000001</v>
      </c>
    </row>
    <row r="76" spans="1:12" ht="18" customHeight="1">
      <c r="A76" s="2"/>
      <c r="B76" s="14" t="s">
        <v>19</v>
      </c>
      <c r="C76" s="12" t="s">
        <v>20</v>
      </c>
      <c r="D76" s="13"/>
      <c r="E76" s="64">
        <f>SUM(E77:E79)</f>
        <v>30622</v>
      </c>
      <c r="F76" s="13"/>
      <c r="G76" s="17">
        <f>SUM(G77:G79)</f>
        <v>20715</v>
      </c>
      <c r="H76" s="13"/>
      <c r="I76" s="17">
        <f>SUM(I77:I79)</f>
        <v>22345</v>
      </c>
      <c r="K76" s="17">
        <f t="shared" si="2"/>
        <v>24.85</v>
      </c>
      <c r="L76" s="17">
        <f t="shared" si="3"/>
        <v>11.556150000000001</v>
      </c>
    </row>
    <row r="77" spans="1:12" ht="18" customHeight="1">
      <c r="A77" s="2"/>
      <c r="B77" s="11" t="s">
        <v>7</v>
      </c>
      <c r="C77" s="12" t="s">
        <v>21</v>
      </c>
      <c r="D77" s="13"/>
      <c r="E77" s="62">
        <v>7900</v>
      </c>
      <c r="F77" s="13"/>
      <c r="G77" s="13">
        <f>5046+150+150+150</f>
        <v>5496</v>
      </c>
      <c r="H77" s="13"/>
      <c r="I77" s="13">
        <f>3500+1650-400</f>
        <v>4750</v>
      </c>
      <c r="K77" s="13">
        <f t="shared" si="2"/>
        <v>6.41</v>
      </c>
      <c r="L77" s="13">
        <f t="shared" si="3"/>
        <v>2.9808819999999998</v>
      </c>
    </row>
    <row r="78" spans="1:12" ht="18" customHeight="1">
      <c r="A78" s="2"/>
      <c r="B78" s="11" t="s">
        <v>9</v>
      </c>
      <c r="C78" s="12" t="s">
        <v>22</v>
      </c>
      <c r="D78" s="13"/>
      <c r="E78" s="65">
        <f>D74+D88+D95+D93</f>
        <v>20522</v>
      </c>
      <c r="F78" s="13"/>
      <c r="G78" s="18">
        <f>F74+F88+F95+F93</f>
        <v>13850</v>
      </c>
      <c r="H78" s="13"/>
      <c r="I78" s="18">
        <f>H74+H88+H95+H93</f>
        <v>16095</v>
      </c>
      <c r="K78" s="18">
        <f t="shared" si="2"/>
        <v>16.650000000000002</v>
      </c>
      <c r="L78" s="18">
        <f t="shared" si="3"/>
        <v>7.7428530000000002</v>
      </c>
    </row>
    <row r="79" spans="1:12" ht="18" customHeight="1">
      <c r="A79" s="2"/>
      <c r="B79" s="11" t="s">
        <v>11</v>
      </c>
      <c r="C79" s="12" t="s">
        <v>91</v>
      </c>
      <c r="D79" s="13"/>
      <c r="E79" s="62">
        <v>2200</v>
      </c>
      <c r="F79" s="13"/>
      <c r="G79" s="13">
        <f>1129+95+95+50</f>
        <v>1369</v>
      </c>
      <c r="H79" s="13"/>
      <c r="I79" s="13">
        <v>1500</v>
      </c>
      <c r="K79" s="13">
        <f t="shared" si="2"/>
        <v>1.79</v>
      </c>
      <c r="L79" s="13">
        <f t="shared" si="3"/>
        <v>0.83241500000000002</v>
      </c>
    </row>
    <row r="80" spans="1:12" ht="18" customHeight="1">
      <c r="A80" s="2"/>
      <c r="B80" s="14" t="s">
        <v>24</v>
      </c>
      <c r="C80" s="12" t="s">
        <v>25</v>
      </c>
      <c r="D80" s="13"/>
      <c r="E80" s="64">
        <f>SUM(E81:E95)+D86</f>
        <v>20695</v>
      </c>
      <c r="F80" s="13"/>
      <c r="G80" s="17">
        <f>SUM(G81:G95)+F86</f>
        <v>12752</v>
      </c>
      <c r="H80" s="13"/>
      <c r="I80" s="17">
        <f>SUM(I81:I95)+H86</f>
        <v>14590</v>
      </c>
      <c r="K80" s="17">
        <f t="shared" si="2"/>
        <v>16.79</v>
      </c>
      <c r="L80" s="17">
        <f t="shared" si="3"/>
        <v>7.8079580000000002</v>
      </c>
    </row>
    <row r="81" spans="1:12" ht="18" customHeight="1">
      <c r="A81" s="2"/>
      <c r="B81" s="11" t="s">
        <v>7</v>
      </c>
      <c r="C81" s="12" t="s">
        <v>26</v>
      </c>
      <c r="D81" s="13"/>
      <c r="E81" s="62">
        <v>20</v>
      </c>
      <c r="F81" s="13"/>
      <c r="G81" s="13"/>
      <c r="H81" s="13"/>
      <c r="I81" s="13">
        <v>15</v>
      </c>
      <c r="K81" s="13">
        <f t="shared" si="2"/>
        <v>0.02</v>
      </c>
      <c r="L81" s="13">
        <f t="shared" si="3"/>
        <v>9.3010000000000002E-3</v>
      </c>
    </row>
    <row r="82" spans="1:12" ht="18" customHeight="1">
      <c r="A82" s="2"/>
      <c r="B82" s="11" t="s">
        <v>9</v>
      </c>
      <c r="C82" s="12" t="s">
        <v>27</v>
      </c>
      <c r="D82" s="13"/>
      <c r="E82" s="62">
        <v>80</v>
      </c>
      <c r="F82" s="13"/>
      <c r="G82" s="13">
        <v>20</v>
      </c>
      <c r="H82" s="13"/>
      <c r="I82" s="13">
        <v>50</v>
      </c>
      <c r="K82" s="13">
        <f t="shared" si="2"/>
        <v>0.06</v>
      </c>
      <c r="L82" s="13">
        <f t="shared" si="3"/>
        <v>2.7902E-2</v>
      </c>
    </row>
    <row r="83" spans="1:12" ht="18" customHeight="1">
      <c r="A83" s="2"/>
      <c r="B83" s="11" t="s">
        <v>11</v>
      </c>
      <c r="C83" s="12" t="s">
        <v>28</v>
      </c>
      <c r="D83" s="13"/>
      <c r="E83" s="62">
        <v>10250</v>
      </c>
      <c r="F83" s="13"/>
      <c r="G83" s="13">
        <v>8200</v>
      </c>
      <c r="H83" s="13"/>
      <c r="I83" s="13">
        <f>8600-850</f>
        <v>7750</v>
      </c>
      <c r="K83" s="13">
        <f t="shared" si="2"/>
        <v>8.32</v>
      </c>
      <c r="L83" s="13">
        <f t="shared" si="3"/>
        <v>3.8691010000000001</v>
      </c>
    </row>
    <row r="84" spans="1:12" ht="18" customHeight="1">
      <c r="A84" s="2"/>
      <c r="B84" s="11" t="s">
        <v>13</v>
      </c>
      <c r="C84" s="12" t="s">
        <v>29</v>
      </c>
      <c r="D84" s="13"/>
      <c r="E84" s="62">
        <v>210</v>
      </c>
      <c r="F84" s="13"/>
      <c r="G84" s="13">
        <v>270</v>
      </c>
      <c r="H84" s="13"/>
      <c r="I84" s="13">
        <v>200</v>
      </c>
      <c r="K84" s="13">
        <f t="shared" si="2"/>
        <v>0.16999999999999998</v>
      </c>
      <c r="L84" s="13">
        <f t="shared" si="3"/>
        <v>7.9056000000000001E-2</v>
      </c>
    </row>
    <row r="85" spans="1:12" ht="18" customHeight="1">
      <c r="A85" s="2"/>
      <c r="B85" s="11" t="s">
        <v>30</v>
      </c>
      <c r="C85" s="12" t="s">
        <v>31</v>
      </c>
      <c r="D85" s="13"/>
      <c r="E85" s="62">
        <v>65</v>
      </c>
      <c r="F85" s="13"/>
      <c r="G85" s="13"/>
      <c r="H85" s="13"/>
      <c r="I85" s="13">
        <v>55</v>
      </c>
      <c r="K85" s="13">
        <f t="shared" si="2"/>
        <v>0.05</v>
      </c>
      <c r="L85" s="13">
        <f t="shared" si="3"/>
        <v>2.3252000000000002E-2</v>
      </c>
    </row>
    <row r="86" spans="1:12" ht="18" customHeight="1">
      <c r="A86" s="2"/>
      <c r="B86" s="11" t="s">
        <v>32</v>
      </c>
      <c r="C86" s="12" t="s">
        <v>33</v>
      </c>
      <c r="D86" s="13">
        <v>120</v>
      </c>
      <c r="E86" s="62">
        <v>3600</v>
      </c>
      <c r="F86" s="13"/>
      <c r="G86" s="13">
        <v>1150</v>
      </c>
      <c r="H86" s="13"/>
      <c r="I86" s="13">
        <v>2500</v>
      </c>
      <c r="K86" s="13">
        <f>ROUND(((E86+D86)/$E$102),4)*100</f>
        <v>3.02</v>
      </c>
      <c r="L86" s="13">
        <f>ROUND(($E$106*K86),4)/100</f>
        <v>1.404409</v>
      </c>
    </row>
    <row r="87" spans="1:12" ht="18" customHeight="1">
      <c r="A87" s="2"/>
      <c r="B87" s="11" t="s">
        <v>34</v>
      </c>
      <c r="C87" s="12" t="s">
        <v>35</v>
      </c>
      <c r="D87" s="13"/>
      <c r="E87" s="62">
        <v>500</v>
      </c>
      <c r="F87" s="13"/>
      <c r="G87" s="13">
        <v>200</v>
      </c>
      <c r="H87" s="13"/>
      <c r="I87" s="13">
        <v>500</v>
      </c>
      <c r="K87" s="13">
        <f t="shared" si="2"/>
        <v>0.41000000000000003</v>
      </c>
      <c r="L87" s="13">
        <f t="shared" si="3"/>
        <v>0.190665</v>
      </c>
    </row>
    <row r="88" spans="1:12" ht="18" customHeight="1">
      <c r="A88" s="2"/>
      <c r="B88" s="11" t="s">
        <v>36</v>
      </c>
      <c r="C88" s="12" t="s">
        <v>37</v>
      </c>
      <c r="D88" s="13">
        <v>3642</v>
      </c>
      <c r="E88" s="62"/>
      <c r="F88" s="13">
        <v>2430</v>
      </c>
      <c r="G88" s="13"/>
      <c r="H88" s="13">
        <v>2585</v>
      </c>
      <c r="I88" s="13"/>
      <c r="K88" s="13">
        <f t="shared" si="2"/>
        <v>0</v>
      </c>
      <c r="L88" s="13">
        <f t="shared" si="3"/>
        <v>0</v>
      </c>
    </row>
    <row r="89" spans="1:12" ht="18" customHeight="1">
      <c r="A89" s="2"/>
      <c r="B89" s="11" t="s">
        <v>38</v>
      </c>
      <c r="C89" s="12" t="s">
        <v>39</v>
      </c>
      <c r="D89" s="15"/>
      <c r="E89" s="62">
        <v>30</v>
      </c>
      <c r="F89" s="15"/>
      <c r="G89" s="13">
        <v>2</v>
      </c>
      <c r="H89" s="15"/>
      <c r="I89" s="13">
        <v>20</v>
      </c>
      <c r="K89" s="13">
        <f t="shared" si="2"/>
        <v>0.02</v>
      </c>
      <c r="L89" s="13">
        <f t="shared" si="3"/>
        <v>9.3010000000000002E-3</v>
      </c>
    </row>
    <row r="90" spans="1:12" ht="18" customHeight="1">
      <c r="A90" s="2"/>
      <c r="B90" s="11" t="s">
        <v>40</v>
      </c>
      <c r="C90" s="12" t="s">
        <v>92</v>
      </c>
      <c r="D90" s="13"/>
      <c r="E90" s="62">
        <f>450+1680</f>
        <v>2130</v>
      </c>
      <c r="F90" s="13"/>
      <c r="G90" s="13">
        <v>410</v>
      </c>
      <c r="H90" s="13"/>
      <c r="I90" s="13">
        <v>450</v>
      </c>
      <c r="K90" s="13">
        <f t="shared" si="2"/>
        <v>1.73</v>
      </c>
      <c r="L90" s="13">
        <f t="shared" si="3"/>
        <v>0.80451300000000003</v>
      </c>
    </row>
    <row r="91" spans="1:12" ht="18" customHeight="1">
      <c r="A91" s="2"/>
      <c r="B91" s="11" t="s">
        <v>42</v>
      </c>
      <c r="C91" s="12" t="s">
        <v>43</v>
      </c>
      <c r="D91" s="13"/>
      <c r="E91" s="62">
        <v>20</v>
      </c>
      <c r="F91" s="13"/>
      <c r="G91" s="13"/>
      <c r="H91" s="13"/>
      <c r="I91" s="13"/>
      <c r="K91" s="13">
        <f t="shared" si="2"/>
        <v>0.02</v>
      </c>
      <c r="L91" s="13">
        <f t="shared" si="3"/>
        <v>9.3010000000000002E-3</v>
      </c>
    </row>
    <row r="92" spans="1:12" ht="18" customHeight="1">
      <c r="A92" s="2"/>
      <c r="B92" s="11" t="s">
        <v>44</v>
      </c>
      <c r="C92" s="12" t="s">
        <v>45</v>
      </c>
      <c r="D92" s="13"/>
      <c r="E92" s="62">
        <v>1800</v>
      </c>
      <c r="F92" s="13"/>
      <c r="G92" s="13">
        <v>1350</v>
      </c>
      <c r="H92" s="13"/>
      <c r="I92" s="13">
        <v>1600</v>
      </c>
      <c r="K92" s="13">
        <f t="shared" si="2"/>
        <v>1.46</v>
      </c>
      <c r="L92" s="13">
        <f t="shared" si="3"/>
        <v>0.67895300000000003</v>
      </c>
    </row>
    <row r="93" spans="1:12" ht="18" customHeight="1">
      <c r="A93" s="2"/>
      <c r="B93" s="11" t="s">
        <v>46</v>
      </c>
      <c r="C93" s="12" t="s">
        <v>47</v>
      </c>
      <c r="D93" s="15">
        <v>1070</v>
      </c>
      <c r="E93" s="62"/>
      <c r="F93" s="15">
        <v>670</v>
      </c>
      <c r="G93" s="13"/>
      <c r="H93" s="15">
        <v>920</v>
      </c>
      <c r="I93" s="13"/>
      <c r="K93" s="13">
        <f t="shared" si="2"/>
        <v>0</v>
      </c>
      <c r="L93" s="13">
        <f t="shared" si="3"/>
        <v>0</v>
      </c>
    </row>
    <row r="94" spans="1:12" ht="18" customHeight="1">
      <c r="A94" s="2"/>
      <c r="B94" s="11" t="s">
        <v>48</v>
      </c>
      <c r="C94" s="12" t="s">
        <v>49</v>
      </c>
      <c r="D94" s="15"/>
      <c r="E94" s="62">
        <v>1870</v>
      </c>
      <c r="F94" s="15"/>
      <c r="G94" s="13">
        <v>1150</v>
      </c>
      <c r="H94" s="15"/>
      <c r="I94" s="13">
        <v>1450</v>
      </c>
      <c r="K94" s="13">
        <f t="shared" si="2"/>
        <v>1.52</v>
      </c>
      <c r="L94" s="13">
        <f t="shared" si="3"/>
        <v>0.70685500000000001</v>
      </c>
    </row>
    <row r="95" spans="1:12" ht="18" customHeight="1">
      <c r="A95" s="2"/>
      <c r="B95" s="11" t="s">
        <v>50</v>
      </c>
      <c r="C95" s="12" t="s">
        <v>51</v>
      </c>
      <c r="D95" s="13">
        <v>5100</v>
      </c>
      <c r="E95" s="62"/>
      <c r="F95" s="13">
        <v>3600</v>
      </c>
      <c r="G95" s="13"/>
      <c r="H95" s="13">
        <v>4990</v>
      </c>
      <c r="I95" s="13"/>
      <c r="K95" s="13">
        <f t="shared" si="2"/>
        <v>0</v>
      </c>
      <c r="L95" s="13">
        <f t="shared" si="3"/>
        <v>0</v>
      </c>
    </row>
    <row r="96" spans="1:12" ht="18" customHeight="1">
      <c r="A96" s="2"/>
      <c r="B96" s="14" t="s">
        <v>52</v>
      </c>
      <c r="C96" s="12" t="s">
        <v>53</v>
      </c>
      <c r="D96" s="13"/>
      <c r="E96" s="66">
        <f>SUM(E69,E74,E75,E76,E80)</f>
        <v>103604.6</v>
      </c>
      <c r="F96" s="13"/>
      <c r="G96" s="19">
        <f>SUM(G69,G74,G75,G76,G80)</f>
        <v>92102</v>
      </c>
      <c r="H96" s="13"/>
      <c r="I96" s="19">
        <f>SUM(I69,I74,I75,I76,I80)</f>
        <v>90821</v>
      </c>
      <c r="K96" s="19">
        <f t="shared" si="2"/>
        <v>84.07</v>
      </c>
      <c r="L96" s="19">
        <f t="shared" si="3"/>
        <v>39.095596</v>
      </c>
    </row>
    <row r="97" spans="1:12" ht="18" customHeight="1">
      <c r="A97" s="2"/>
      <c r="B97" s="14" t="s">
        <v>54</v>
      </c>
      <c r="C97" s="12" t="s">
        <v>55</v>
      </c>
      <c r="D97" s="13"/>
      <c r="E97" s="63">
        <v>8300</v>
      </c>
      <c r="F97" s="13"/>
      <c r="G97" s="16">
        <f>ROUND(F74*0.9+(G74*0.5),0)</f>
        <v>6435</v>
      </c>
      <c r="H97" s="13"/>
      <c r="I97" s="16">
        <v>6565</v>
      </c>
      <c r="K97" s="16">
        <f t="shared" si="2"/>
        <v>6.74</v>
      </c>
      <c r="L97" s="16">
        <f t="shared" si="3"/>
        <v>3.134344</v>
      </c>
    </row>
    <row r="98" spans="1:12" ht="18" customHeight="1">
      <c r="A98" s="2"/>
      <c r="B98" s="14" t="s">
        <v>56</v>
      </c>
      <c r="C98" s="12" t="s">
        <v>57</v>
      </c>
      <c r="D98" s="13"/>
      <c r="E98" s="63">
        <v>11130</v>
      </c>
      <c r="F98" s="13"/>
      <c r="G98" s="16">
        <f>ROUND(F74*0.82,0)</f>
        <v>5863</v>
      </c>
      <c r="H98" s="13"/>
      <c r="I98" s="16">
        <v>6000</v>
      </c>
      <c r="K98" s="16">
        <f t="shared" si="2"/>
        <v>9.0300000000000011</v>
      </c>
      <c r="L98" s="16">
        <f t="shared" si="3"/>
        <v>4.1992770000000004</v>
      </c>
    </row>
    <row r="99" spans="1:12" ht="18" customHeight="1">
      <c r="A99" s="2"/>
      <c r="B99" s="14" t="s">
        <v>58</v>
      </c>
      <c r="C99" s="12" t="s">
        <v>59</v>
      </c>
      <c r="D99" s="13"/>
      <c r="E99" s="63">
        <v>450</v>
      </c>
      <c r="F99" s="13"/>
      <c r="G99" s="16">
        <f>ROUND((G79+G82+G70)*0.09,0)</f>
        <v>278</v>
      </c>
      <c r="H99" s="13"/>
      <c r="I99" s="16">
        <v>160</v>
      </c>
      <c r="K99" s="16">
        <f t="shared" si="2"/>
        <v>0.37</v>
      </c>
      <c r="L99" s="16">
        <f t="shared" si="3"/>
        <v>0.17206299999999999</v>
      </c>
    </row>
    <row r="100" spans="1:12" ht="18" customHeight="1">
      <c r="A100" s="2"/>
      <c r="B100" s="14" t="s">
        <v>60</v>
      </c>
      <c r="C100" s="12" t="s">
        <v>61</v>
      </c>
      <c r="D100" s="13"/>
      <c r="E100" s="66">
        <f>SUM(E96,E97,E98,E99)</f>
        <v>123484.6</v>
      </c>
      <c r="F100" s="13"/>
      <c r="G100" s="19">
        <f>SUM(G96,G97,G98,G99)</f>
        <v>104678</v>
      </c>
      <c r="H100" s="13"/>
      <c r="I100" s="19">
        <f>SUM(I96,I97,I98,I99)</f>
        <v>103546</v>
      </c>
      <c r="K100" s="19">
        <f t="shared" si="2"/>
        <v>100.2</v>
      </c>
      <c r="L100" s="19">
        <f t="shared" si="3"/>
        <v>46.596629999999998</v>
      </c>
    </row>
    <row r="101" spans="1:12" ht="18" customHeight="1">
      <c r="A101" s="2"/>
      <c r="B101" s="14" t="s">
        <v>62</v>
      </c>
      <c r="C101" s="12" t="s">
        <v>93</v>
      </c>
      <c r="D101" s="13"/>
      <c r="E101" s="63">
        <v>-250</v>
      </c>
      <c r="F101" s="13"/>
      <c r="G101" s="16">
        <v>-300</v>
      </c>
      <c r="H101" s="13"/>
      <c r="I101" s="16">
        <f>-250</f>
        <v>-250</v>
      </c>
      <c r="K101" s="16">
        <f t="shared" si="2"/>
        <v>-0.2</v>
      </c>
      <c r="L101" s="16">
        <f t="shared" si="3"/>
        <v>-9.3007000000000006E-2</v>
      </c>
    </row>
    <row r="102" spans="1:12" ht="18" customHeight="1">
      <c r="A102" s="2"/>
      <c r="B102" s="14" t="s">
        <v>64</v>
      </c>
      <c r="C102" s="12" t="s">
        <v>65</v>
      </c>
      <c r="D102" s="13"/>
      <c r="E102" s="66">
        <f>SUM(E100,E101)</f>
        <v>123234.6</v>
      </c>
      <c r="F102" s="13"/>
      <c r="G102" s="19">
        <f>SUM(G100,G101)</f>
        <v>104378</v>
      </c>
      <c r="H102" s="13"/>
      <c r="I102" s="19">
        <f>SUM(I100,I101)</f>
        <v>103296</v>
      </c>
      <c r="K102" s="19">
        <f>SUM(K100:K101)</f>
        <v>100</v>
      </c>
      <c r="L102" s="19">
        <f t="shared" si="3"/>
        <v>46.503622999999997</v>
      </c>
    </row>
    <row r="103" spans="1:12" ht="18" customHeight="1">
      <c r="A103" s="2"/>
      <c r="B103" s="14" t="s">
        <v>66</v>
      </c>
      <c r="C103" s="12" t="s">
        <v>94</v>
      </c>
      <c r="D103" s="13"/>
      <c r="E103" s="67">
        <f>SUM(E104,E105)</f>
        <v>2650</v>
      </c>
      <c r="F103" s="13"/>
      <c r="G103" s="20">
        <f>SUM(G104,G105)</f>
        <v>2675</v>
      </c>
      <c r="H103" s="13"/>
      <c r="I103" s="20">
        <f>SUM(I104,I105)</f>
        <v>2630</v>
      </c>
      <c r="K103" s="20"/>
      <c r="L103" s="20"/>
    </row>
    <row r="104" spans="1:12" ht="18" customHeight="1">
      <c r="A104" s="2"/>
      <c r="B104" s="14"/>
      <c r="C104" s="12" t="s">
        <v>68</v>
      </c>
      <c r="D104" s="13"/>
      <c r="E104" s="62">
        <v>1620</v>
      </c>
      <c r="F104" s="13"/>
      <c r="G104" s="13">
        <v>1635</v>
      </c>
      <c r="H104" s="13"/>
      <c r="I104" s="13">
        <v>1600</v>
      </c>
      <c r="K104" s="13"/>
      <c r="L104" s="13"/>
    </row>
    <row r="105" spans="1:12" ht="18" customHeight="1">
      <c r="A105" s="2"/>
      <c r="B105" s="14"/>
      <c r="C105" s="12" t="s">
        <v>69</v>
      </c>
      <c r="D105" s="13"/>
      <c r="E105" s="62">
        <v>1030</v>
      </c>
      <c r="F105" s="13"/>
      <c r="G105" s="13">
        <v>1040</v>
      </c>
      <c r="H105" s="13"/>
      <c r="I105" s="13">
        <v>1030</v>
      </c>
      <c r="K105" s="13"/>
      <c r="L105" s="13"/>
    </row>
    <row r="106" spans="1:12" ht="18" customHeight="1">
      <c r="A106" s="2"/>
      <c r="B106" s="22" t="s">
        <v>70</v>
      </c>
      <c r="C106" s="23" t="s">
        <v>71</v>
      </c>
      <c r="D106" s="24"/>
      <c r="E106" s="68">
        <f>E102/E103</f>
        <v>46.503622641509438</v>
      </c>
      <c r="F106" s="24"/>
      <c r="G106" s="24">
        <f>G102/G103</f>
        <v>39.019813084112151</v>
      </c>
      <c r="H106" s="24"/>
      <c r="I106" s="24">
        <f>I102/I103</f>
        <v>39.276045627376426</v>
      </c>
      <c r="K106" s="24"/>
      <c r="L106" s="24"/>
    </row>
    <row r="107" spans="1:12" ht="18" customHeight="1">
      <c r="A107" s="2"/>
      <c r="B107" s="14" t="s">
        <v>72</v>
      </c>
      <c r="C107" s="12" t="s">
        <v>73</v>
      </c>
      <c r="D107" s="13"/>
      <c r="E107" s="69">
        <v>48.04</v>
      </c>
      <c r="F107" s="13"/>
      <c r="G107" s="26">
        <v>40.6</v>
      </c>
      <c r="H107" s="13"/>
      <c r="I107" s="26">
        <v>40.6</v>
      </c>
      <c r="K107" s="26"/>
      <c r="L107" s="26"/>
    </row>
    <row r="108" spans="1:12" ht="18" customHeight="1">
      <c r="A108" s="2"/>
      <c r="B108" s="14"/>
      <c r="C108" s="12" t="s">
        <v>74</v>
      </c>
      <c r="D108" s="13"/>
      <c r="E108" s="69">
        <v>48.04</v>
      </c>
      <c r="F108" s="13"/>
      <c r="G108" s="26">
        <f>G107</f>
        <v>40.6</v>
      </c>
      <c r="H108" s="13"/>
      <c r="I108" s="26">
        <v>40.6</v>
      </c>
      <c r="K108" s="26"/>
      <c r="L108" s="26"/>
    </row>
    <row r="109" spans="1:12" ht="18" customHeight="1">
      <c r="A109" s="2"/>
      <c r="B109" s="14" t="s">
        <v>75</v>
      </c>
      <c r="C109" s="12" t="s">
        <v>76</v>
      </c>
      <c r="D109" s="13"/>
      <c r="E109" s="69">
        <f>E107-E106</f>
        <v>1.5363773584905616</v>
      </c>
      <c r="F109" s="13"/>
      <c r="G109" s="26">
        <f>G107-G106</f>
        <v>1.5801869158878503</v>
      </c>
      <c r="H109" s="13"/>
      <c r="I109" s="26">
        <f>I107-I106</f>
        <v>1.3239543726235752</v>
      </c>
      <c r="K109" s="26"/>
      <c r="L109" s="26"/>
    </row>
    <row r="110" spans="1:12" ht="18" customHeight="1">
      <c r="A110" s="2"/>
      <c r="B110" s="14"/>
      <c r="C110" s="12" t="s">
        <v>77</v>
      </c>
      <c r="D110" s="13"/>
      <c r="E110" s="69">
        <f>E108-E106</f>
        <v>1.5363773584905616</v>
      </c>
      <c r="F110" s="13"/>
      <c r="G110" s="26">
        <f>G108-G106</f>
        <v>1.5801869158878503</v>
      </c>
      <c r="H110" s="13"/>
      <c r="I110" s="26">
        <f>I108-I106</f>
        <v>1.3239543726235752</v>
      </c>
      <c r="K110" s="26"/>
      <c r="L110" s="26"/>
    </row>
    <row r="111" spans="1:12" ht="18" customHeight="1" thickBot="1">
      <c r="A111" s="2"/>
      <c r="B111" s="27" t="s">
        <v>78</v>
      </c>
      <c r="C111" s="28" t="s">
        <v>79</v>
      </c>
      <c r="D111" s="29"/>
      <c r="E111" s="70">
        <f>E112/E102</f>
        <v>3.3037799449180623E-2</v>
      </c>
      <c r="F111" s="29"/>
      <c r="G111" s="30">
        <f>G112/G102</f>
        <v>4.0497039606047253E-2</v>
      </c>
      <c r="H111" s="29"/>
      <c r="I111" s="30">
        <f>I112/I102</f>
        <v>3.3708952912019828E-2</v>
      </c>
      <c r="K111" s="30"/>
      <c r="L111" s="30"/>
    </row>
    <row r="112" spans="1:12" ht="18" customHeight="1" thickBot="1">
      <c r="A112" s="2"/>
      <c r="B112" s="31" t="s">
        <v>80</v>
      </c>
      <c r="C112" s="32" t="s">
        <v>81</v>
      </c>
      <c r="D112" s="33"/>
      <c r="E112" s="71">
        <f>((E107*E104+E108*E105)-E102)</f>
        <v>4071.3999999999942</v>
      </c>
      <c r="F112" s="33"/>
      <c r="G112" s="34">
        <f>((G107*G104+G108*G105)-G102)</f>
        <v>4227</v>
      </c>
      <c r="H112" s="33"/>
      <c r="I112" s="34">
        <f>((I107*I104+I108*I105)-I102)</f>
        <v>3482</v>
      </c>
      <c r="K112" s="34"/>
      <c r="L112" s="34"/>
    </row>
    <row r="113" spans="1:12" ht="18" customHeight="1">
      <c r="A113" s="2"/>
      <c r="B113" s="2"/>
      <c r="C113" s="5"/>
      <c r="D113" s="4"/>
      <c r="E113" s="4"/>
      <c r="F113" s="52"/>
      <c r="G113" s="53"/>
      <c r="K113" s="4"/>
      <c r="L113" s="4"/>
    </row>
    <row r="114" spans="1:12" s="40" customFormat="1" ht="18" customHeight="1">
      <c r="A114" s="2"/>
      <c r="B114" s="2"/>
      <c r="C114" s="5"/>
      <c r="D114" s="4"/>
      <c r="E114" s="4"/>
      <c r="K114" s="4"/>
      <c r="L114" s="4"/>
    </row>
    <row r="115" spans="1:12" s="40" customFormat="1" ht="18" customHeight="1">
      <c r="A115" s="2"/>
      <c r="B115" s="2"/>
      <c r="C115" s="5"/>
      <c r="D115" s="4"/>
      <c r="E115" s="4"/>
      <c r="K115" s="4"/>
      <c r="L115" s="4"/>
    </row>
    <row r="116" spans="1:12" s="40" customFormat="1" ht="18" customHeight="1">
      <c r="A116" s="2"/>
      <c r="B116" s="2" t="s">
        <v>82</v>
      </c>
      <c r="C116" s="5"/>
      <c r="D116" s="4" t="s">
        <v>83</v>
      </c>
      <c r="E116" s="4"/>
      <c r="K116" s="4"/>
      <c r="L116" s="4"/>
    </row>
    <row r="117" spans="1:12" s="40" customFormat="1" ht="18" customHeight="1">
      <c r="A117" s="2"/>
      <c r="B117" s="2" t="s">
        <v>84</v>
      </c>
      <c r="C117" s="35" t="s">
        <v>109</v>
      </c>
      <c r="D117" s="4"/>
      <c r="E117" s="4"/>
      <c r="K117" s="4"/>
      <c r="L117" s="4"/>
    </row>
    <row r="118" spans="1:12" s="40" customFormat="1" ht="18" customHeight="1">
      <c r="A118" s="2"/>
      <c r="B118" s="2"/>
      <c r="C118" s="5"/>
      <c r="D118" s="4"/>
      <c r="E118" s="4"/>
      <c r="K118" s="4"/>
      <c r="L118" s="4"/>
    </row>
  </sheetData>
  <mergeCells count="7">
    <mergeCell ref="B68:C68"/>
    <mergeCell ref="F68:G68"/>
    <mergeCell ref="B1:E1"/>
    <mergeCell ref="B2:E2"/>
    <mergeCell ref="B6:C6"/>
    <mergeCell ref="B63:E63"/>
    <mergeCell ref="B64:E64"/>
  </mergeCells>
  <printOptions horizontalCentered="1"/>
  <pageMargins left="0" right="0" top="0.19685039370078741" bottom="0.39370078740157483" header="0.51181102362204722" footer="0.51181102362204722"/>
  <pageSetup paperSize="9" scale="78" fitToHeight="2" orientation="portrait" r:id="rId1"/>
  <headerFooter alignWithMargins="0"/>
  <rowBreaks count="2" manualBreakCount="2">
    <brk id="54" max="65535" man="1"/>
    <brk id="55" max="6553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8"/>
  <sheetViews>
    <sheetView tabSelected="1" workbookViewId="0">
      <selection activeCell="G5" sqref="G5"/>
    </sheetView>
  </sheetViews>
  <sheetFormatPr defaultColWidth="9.109375" defaultRowHeight="13.2"/>
  <cols>
    <col min="1" max="1" width="35.6640625" style="45" customWidth="1"/>
    <col min="2" max="2" width="9.109375" style="45"/>
    <col min="3" max="3" width="9.6640625" style="45" bestFit="1" customWidth="1"/>
    <col min="4" max="16384" width="9.109375" style="45"/>
  </cols>
  <sheetData>
    <row r="1" spans="1:3">
      <c r="B1" s="45" t="s">
        <v>97</v>
      </c>
      <c r="C1" s="45" t="s">
        <v>105</v>
      </c>
    </row>
    <row r="2" spans="1:3">
      <c r="A2" s="45" t="s">
        <v>99</v>
      </c>
      <c r="B2" s="47">
        <f>ROUND((C2/$C$8)*100,2)</f>
        <v>58.15</v>
      </c>
      <c r="C2" s="54">
        <f>'106,86 SVAZEK'!E13+'106,86 SVAZEK'!E14+'106,86 SVAZEK'!E75+'106,86 SVAZEK'!E76+'106,86 SVAZEK'!E12+'106,86 SVAZEK'!E74+'106,86 SVAZEK'!E26+'106,86 SVAZEK'!E88</f>
        <v>158268.29999999999</v>
      </c>
    </row>
    <row r="3" spans="1:3">
      <c r="A3" s="45" t="s">
        <v>100</v>
      </c>
      <c r="B3" s="47">
        <f t="shared" ref="B3:B7" si="0">ROUND((C3/$C$8)*100,2)</f>
        <v>8.09</v>
      </c>
      <c r="C3" s="54">
        <f>'106,86 SVAZEK'!E10+'106,86 SVAZEK'!E24+'106,86 SVAZEK'!D24+'106,86 SVAZEK'!E28+'106,86 SVAZEK'!E32+'106,86 SVAZEK'!D86+'106,86 SVAZEK'!E86+'106,86 SVAZEK'!E94+'106,86 SVAZEK'!E90</f>
        <v>22020</v>
      </c>
    </row>
    <row r="4" spans="1:3">
      <c r="A4" s="45" t="s">
        <v>101</v>
      </c>
      <c r="B4" s="47">
        <f t="shared" si="0"/>
        <v>7.96</v>
      </c>
      <c r="C4" s="54">
        <f>'106,86 SVAZEK'!E21+'106,86 SVAZEK'!E83</f>
        <v>21650</v>
      </c>
    </row>
    <row r="5" spans="1:3">
      <c r="A5" s="45" t="s">
        <v>110</v>
      </c>
      <c r="B5" s="47">
        <f t="shared" si="0"/>
        <v>2.2400000000000002</v>
      </c>
      <c r="C5" s="54">
        <f>'106,86 SVAZEK'!E8+'106,86 SVAZEK'!E11+'106,86 SVAZEK'!E70+'106,86 SVAZEK'!E73</f>
        <v>6100</v>
      </c>
    </row>
    <row r="6" spans="1:3">
      <c r="A6" s="45" t="s">
        <v>103</v>
      </c>
      <c r="B6" s="47">
        <f t="shared" si="0"/>
        <v>20.309999999999999</v>
      </c>
      <c r="C6" s="55">
        <f>C8-C2-C3-C4-C5-C7</f>
        <v>55281.000000000029</v>
      </c>
    </row>
    <row r="7" spans="1:3">
      <c r="A7" s="45" t="s">
        <v>104</v>
      </c>
      <c r="B7" s="47">
        <f t="shared" si="0"/>
        <v>3.25</v>
      </c>
      <c r="C7" s="54">
        <f>'106,86 SVAZEK'!E112+'106,86 SVAZEK'!E50</f>
        <v>8831.6999999999825</v>
      </c>
    </row>
    <row r="8" spans="1:3">
      <c r="A8" s="45" t="s">
        <v>106</v>
      </c>
      <c r="B8" s="47">
        <f>SUM(B2:B7)</f>
        <v>99.999999999999986</v>
      </c>
      <c r="C8" s="54">
        <f>'106,86 SVAZEK'!E40+'106,86 SVAZEK'!E50+'106,86 SVAZEK'!E102+'106,86 SVAZEK'!E112</f>
        <v>272151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návrh 20161012-0%</vt:lpstr>
      <vt:lpstr>návrh 20161012-1%</vt:lpstr>
      <vt:lpstr>graf20161012</vt:lpstr>
      <vt:lpstr>106,86 SVAZEK</vt:lpstr>
      <vt:lpstr>graf 106,86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</dc:creator>
  <cp:lastModifiedBy>en</cp:lastModifiedBy>
  <cp:lastPrinted>2020-11-30T13:21:13Z</cp:lastPrinted>
  <dcterms:created xsi:type="dcterms:W3CDTF">2016-10-12T08:00:32Z</dcterms:created>
  <dcterms:modified xsi:type="dcterms:W3CDTF">2020-11-30T14:00:19Z</dcterms:modified>
</cp:coreProperties>
</file>